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48" i="54" l="1"/>
  <c r="D48" i="54"/>
  <c r="E48" i="54"/>
  <c r="F48" i="54"/>
  <c r="G48" i="54"/>
  <c r="H48" i="54"/>
  <c r="I48" i="54"/>
  <c r="J48" i="54"/>
  <c r="K48" i="54"/>
  <c r="L48" i="54"/>
  <c r="M48" i="54"/>
  <c r="N48" i="54"/>
  <c r="O48" i="54"/>
  <c r="P48" i="54"/>
  <c r="Q48" i="54"/>
  <c r="R48" i="54"/>
  <c r="S48" i="54"/>
  <c r="T48" i="54"/>
  <c r="U48" i="54"/>
  <c r="V48" i="54"/>
  <c r="W48" i="54"/>
  <c r="X48" i="54"/>
  <c r="Y48" i="54"/>
  <c r="Z48" i="54"/>
  <c r="AA48" i="54"/>
  <c r="AB48" i="54"/>
  <c r="AC48" i="54"/>
  <c r="AD48" i="54"/>
  <c r="AE48" i="54"/>
  <c r="AF48" i="54"/>
  <c r="AG48" i="54"/>
  <c r="B49" i="54"/>
  <c r="B48" i="54"/>
  <c r="AD26" i="5"/>
  <c r="B83" i="53"/>
  <c r="B88" i="53"/>
  <c r="B86" i="53"/>
  <c r="B80" i="53"/>
  <c r="B32" i="53" l="1"/>
  <c r="B50" i="15" l="1"/>
  <c r="B42" i="15" s="1"/>
  <c r="B22" i="53" l="1"/>
  <c r="AD28" i="5"/>
  <c r="AD32" i="5" s="1"/>
  <c r="B29" i="53" s="1"/>
  <c r="S24" i="15"/>
  <c r="R24" i="15"/>
  <c r="Q24" i="15"/>
  <c r="P24" i="15"/>
  <c r="O24" i="15"/>
  <c r="N24" i="15"/>
  <c r="M24" i="15"/>
  <c r="L24" i="15"/>
  <c r="K24" i="15"/>
  <c r="J24" i="15"/>
  <c r="I24" i="15"/>
  <c r="H24" i="15"/>
  <c r="T24" i="15" s="1"/>
  <c r="G24" i="15"/>
  <c r="I30" i="15"/>
  <c r="H30" i="15"/>
  <c r="G30" i="15"/>
  <c r="K30" i="15"/>
  <c r="L30" i="15"/>
  <c r="M30" i="15"/>
  <c r="N30" i="15"/>
  <c r="O30" i="15"/>
  <c r="P30" i="15"/>
  <c r="Q30" i="15"/>
  <c r="R30" i="15"/>
  <c r="S30" i="15"/>
  <c r="J30" i="15"/>
  <c r="U30" i="15" s="1"/>
  <c r="J45" i="15"/>
  <c r="J54" i="15" s="1"/>
  <c r="U54" i="15" s="1"/>
  <c r="T25" i="15"/>
  <c r="U25" i="15"/>
  <c r="T26" i="15"/>
  <c r="U26" i="15"/>
  <c r="T27" i="15"/>
  <c r="U27" i="15"/>
  <c r="T28" i="15"/>
  <c r="U28" i="15"/>
  <c r="T29" i="15"/>
  <c r="U29"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T46" i="15"/>
  <c r="U46" i="15"/>
  <c r="T47" i="15"/>
  <c r="U47" i="15"/>
  <c r="T48" i="15"/>
  <c r="U48" i="15"/>
  <c r="T49" i="15"/>
  <c r="U49" i="15"/>
  <c r="T50" i="15"/>
  <c r="U50" i="15"/>
  <c r="T51" i="15"/>
  <c r="U51" i="15"/>
  <c r="T52" i="15"/>
  <c r="U52" i="15"/>
  <c r="W52" i="15" s="1"/>
  <c r="T53" i="15"/>
  <c r="U53" i="15"/>
  <c r="T54" i="15"/>
  <c r="T55" i="15"/>
  <c r="U55" i="15"/>
  <c r="T56" i="15"/>
  <c r="U56" i="15"/>
  <c r="T57" i="15"/>
  <c r="U57" i="15"/>
  <c r="T58" i="15"/>
  <c r="U58" i="15"/>
  <c r="T59" i="15"/>
  <c r="U59" i="15"/>
  <c r="T60" i="15"/>
  <c r="U60" i="15"/>
  <c r="T61" i="15"/>
  <c r="U61" i="15"/>
  <c r="T62" i="15"/>
  <c r="U62" i="15"/>
  <c r="T63" i="15"/>
  <c r="U63" i="15"/>
  <c r="T64" i="15"/>
  <c r="U64" i="15"/>
  <c r="U24" i="15"/>
  <c r="B102" i="53"/>
  <c r="AE26" i="5"/>
  <c r="D26" i="5"/>
  <c r="D28" i="5" s="1"/>
  <c r="T30" i="15" l="1"/>
  <c r="U45" i="15"/>
  <c r="B25" i="54"/>
  <c r="D67" i="54" s="1"/>
  <c r="C48" i="7"/>
  <c r="W24" i="15"/>
  <c r="C49" i="7"/>
  <c r="W30" i="15"/>
  <c r="O25" i="13"/>
  <c r="N25" i="13"/>
  <c r="B29" i="54" l="1"/>
  <c r="C27" i="6"/>
  <c r="B110" i="54" l="1"/>
  <c r="O27" i="13"/>
  <c r="B24" i="53" s="1"/>
  <c r="Q26" i="14" l="1"/>
  <c r="R26" i="14"/>
  <c r="S26" i="14" l="1"/>
  <c r="D110" i="54"/>
  <c r="A15" i="54"/>
  <c r="A12" i="54"/>
  <c r="A9" i="54"/>
  <c r="A5" i="54"/>
  <c r="D132" i="54"/>
  <c r="D73" i="54" s="1"/>
  <c r="C132" i="54"/>
  <c r="C73" i="54" s="1"/>
  <c r="B132" i="54"/>
  <c r="B73" i="54" s="1"/>
  <c r="E131" i="54"/>
  <c r="E132" i="54" s="1"/>
  <c r="E73" i="54" s="1"/>
  <c r="C130" i="54"/>
  <c r="D130" i="54" s="1"/>
  <c r="E130" i="54" s="1"/>
  <c r="F130" i="54" s="1"/>
  <c r="G130" i="54" s="1"/>
  <c r="H130" i="54" s="1"/>
  <c r="I130" i="54" s="1"/>
  <c r="J130" i="54" s="1"/>
  <c r="K130" i="54" s="1"/>
  <c r="L130" i="54" s="1"/>
  <c r="M130" i="54" s="1"/>
  <c r="N130" i="54" s="1"/>
  <c r="O130" i="54" s="1"/>
  <c r="P130" i="54" s="1"/>
  <c r="Q130" i="54" s="1"/>
  <c r="R130" i="54" s="1"/>
  <c r="S130" i="54" s="1"/>
  <c r="T130" i="54" s="1"/>
  <c r="U130" i="54" s="1"/>
  <c r="V130" i="54" s="1"/>
  <c r="W130" i="54" s="1"/>
  <c r="X130" i="54" s="1"/>
  <c r="Y130" i="54" s="1"/>
  <c r="Z130" i="54" s="1"/>
  <c r="AA130" i="54" s="1"/>
  <c r="AB130" i="54" s="1"/>
  <c r="AC130" i="54" s="1"/>
  <c r="AD130" i="54" s="1"/>
  <c r="AE130" i="54" s="1"/>
  <c r="AF130" i="54" s="1"/>
  <c r="AG130" i="54" s="1"/>
  <c r="C128" i="54"/>
  <c r="C126" i="54"/>
  <c r="D126" i="54" s="1"/>
  <c r="E126" i="54" s="1"/>
  <c r="F126" i="54" s="1"/>
  <c r="G126" i="54" s="1"/>
  <c r="H126" i="54" s="1"/>
  <c r="I126" i="54" s="1"/>
  <c r="J126" i="54" s="1"/>
  <c r="K126" i="54" s="1"/>
  <c r="L126" i="54" s="1"/>
  <c r="M126" i="54" s="1"/>
  <c r="N126" i="54" s="1"/>
  <c r="O126" i="54" s="1"/>
  <c r="P126" i="54" s="1"/>
  <c r="Q126" i="54" s="1"/>
  <c r="R126" i="54" s="1"/>
  <c r="S126" i="54" s="1"/>
  <c r="T126" i="54" s="1"/>
  <c r="U126" i="54" s="1"/>
  <c r="V126" i="54" s="1"/>
  <c r="W126" i="54" s="1"/>
  <c r="X126" i="54" s="1"/>
  <c r="Y126" i="54" s="1"/>
  <c r="Z126" i="54" s="1"/>
  <c r="AA126" i="54" s="1"/>
  <c r="AB126" i="54" s="1"/>
  <c r="AC126" i="54" s="1"/>
  <c r="AD126" i="54" s="1"/>
  <c r="AE126" i="54" s="1"/>
  <c r="AF126" i="54" s="1"/>
  <c r="AG126" i="54" s="1"/>
  <c r="B119" i="54"/>
  <c r="G112" i="54"/>
  <c r="B111" i="54"/>
  <c r="D100" i="54"/>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B52" i="54"/>
  <c r="B47" i="54"/>
  <c r="B45" i="54"/>
  <c r="D111" i="54" l="1"/>
  <c r="G111" i="54"/>
  <c r="I111" i="54" s="1"/>
  <c r="D128" i="54"/>
  <c r="C49" i="54"/>
  <c r="F131" i="54"/>
  <c r="F132" i="54" s="1"/>
  <c r="B46" i="54"/>
  <c r="B81" i="54"/>
  <c r="B54" i="54"/>
  <c r="B55" i="54" s="1"/>
  <c r="C53" i="54" s="1"/>
  <c r="B59" i="54"/>
  <c r="C74" i="54"/>
  <c r="D58" i="54"/>
  <c r="C52" i="54"/>
  <c r="C47" i="54"/>
  <c r="I113" i="54" l="1"/>
  <c r="C102" i="54" s="1"/>
  <c r="B79" i="54"/>
  <c r="E128" i="54"/>
  <c r="D49" i="54"/>
  <c r="B85" i="54"/>
  <c r="F73" i="54"/>
  <c r="G113" i="54"/>
  <c r="G131" i="54"/>
  <c r="G132" i="54" s="1"/>
  <c r="C60" i="54"/>
  <c r="B66" i="54"/>
  <c r="B68" i="54" s="1"/>
  <c r="B75" i="54" s="1"/>
  <c r="B56" i="54"/>
  <c r="B69" i="54" s="1"/>
  <c r="B77" i="54" s="1"/>
  <c r="B80" i="54"/>
  <c r="B82" i="54"/>
  <c r="C76" i="54"/>
  <c r="D74" i="54"/>
  <c r="D47" i="54"/>
  <c r="D52" i="54"/>
  <c r="E58" i="54"/>
  <c r="C55" i="54"/>
  <c r="C101" i="54" l="1"/>
  <c r="C59" i="54" s="1"/>
  <c r="C80" i="54" s="1"/>
  <c r="D102" i="54"/>
  <c r="E102" i="54" s="1"/>
  <c r="E101" i="54" s="1"/>
  <c r="C79" i="54"/>
  <c r="F128" i="54"/>
  <c r="E49" i="54"/>
  <c r="C85" i="54"/>
  <c r="G73" i="54"/>
  <c r="D101" i="54"/>
  <c r="H131" i="54"/>
  <c r="H132" i="54" s="1"/>
  <c r="B70" i="54"/>
  <c r="B71" i="54" s="1"/>
  <c r="B72" i="54" s="1"/>
  <c r="F76" i="54"/>
  <c r="C82" i="54"/>
  <c r="C56" i="54"/>
  <c r="C69" i="54" s="1"/>
  <c r="D53" i="54"/>
  <c r="F58" i="54"/>
  <c r="E52" i="54"/>
  <c r="E74" i="54"/>
  <c r="E47" i="54"/>
  <c r="C66" i="54" l="1"/>
  <c r="C68" i="54" s="1"/>
  <c r="C75" i="54" s="1"/>
  <c r="F102" i="54"/>
  <c r="F101" i="54" s="1"/>
  <c r="I131" i="54"/>
  <c r="I132" i="54" s="1"/>
  <c r="F49" i="54"/>
  <c r="G128" i="54"/>
  <c r="D85" i="54"/>
  <c r="H73" i="54"/>
  <c r="D50" i="54"/>
  <c r="D59" i="54" s="1"/>
  <c r="D61" i="54"/>
  <c r="D60" i="54" s="1"/>
  <c r="E50" i="54"/>
  <c r="E59" i="54" s="1"/>
  <c r="D76" i="54"/>
  <c r="E67" i="54"/>
  <c r="J131" i="54"/>
  <c r="J132" i="54" s="1"/>
  <c r="F52" i="54"/>
  <c r="F74" i="54"/>
  <c r="G58" i="54"/>
  <c r="F47" i="54"/>
  <c r="C77" i="54"/>
  <c r="C70" i="54"/>
  <c r="B78" i="54"/>
  <c r="B83" i="54" s="1"/>
  <c r="D55" i="54"/>
  <c r="G102" i="54" l="1"/>
  <c r="G101" i="54" s="1"/>
  <c r="D80" i="54"/>
  <c r="D79" i="54"/>
  <c r="G49" i="54"/>
  <c r="H128" i="54"/>
  <c r="F85" i="54"/>
  <c r="J73" i="54"/>
  <c r="E85" i="54"/>
  <c r="I73" i="54"/>
  <c r="D66" i="54"/>
  <c r="D68" i="54" s="1"/>
  <c r="D75" i="54" s="1"/>
  <c r="E80" i="54"/>
  <c r="E61" i="54"/>
  <c r="E60" i="54" s="1"/>
  <c r="E66" i="54" s="1"/>
  <c r="E68" i="54" s="1"/>
  <c r="E75" i="54" s="1"/>
  <c r="F50" i="54"/>
  <c r="F59" i="54" s="1"/>
  <c r="E76" i="54"/>
  <c r="F67" i="54"/>
  <c r="G67" i="54" s="1"/>
  <c r="D56" i="54"/>
  <c r="D69" i="54" s="1"/>
  <c r="D82" i="54"/>
  <c r="B86" i="54"/>
  <c r="B88" i="54"/>
  <c r="B84" i="54"/>
  <c r="B89" i="54" s="1"/>
  <c r="K131" i="54"/>
  <c r="K132" i="54" s="1"/>
  <c r="C71" i="54"/>
  <c r="C72" i="54" s="1"/>
  <c r="E53" i="54"/>
  <c r="G74" i="54"/>
  <c r="H58" i="54"/>
  <c r="G52" i="54"/>
  <c r="G47" i="54"/>
  <c r="H102" i="54" l="1"/>
  <c r="H101" i="54" s="1"/>
  <c r="E79" i="54"/>
  <c r="H49" i="54"/>
  <c r="I128" i="54"/>
  <c r="G85" i="54"/>
  <c r="K73" i="54"/>
  <c r="F80" i="54"/>
  <c r="F61" i="54"/>
  <c r="F60" i="54" s="1"/>
  <c r="F66" i="54" s="1"/>
  <c r="F68" i="54" s="1"/>
  <c r="F75" i="54" s="1"/>
  <c r="G50" i="54"/>
  <c r="G59" i="54" s="1"/>
  <c r="G76" i="54"/>
  <c r="H67" i="54"/>
  <c r="B87" i="54"/>
  <c r="B90" i="54" s="1"/>
  <c r="D77" i="54"/>
  <c r="D70" i="54"/>
  <c r="E55" i="54"/>
  <c r="F53" i="54" s="1"/>
  <c r="C78" i="54"/>
  <c r="C83" i="54" s="1"/>
  <c r="H74" i="54"/>
  <c r="I58" i="54"/>
  <c r="H52" i="54"/>
  <c r="H47" i="54"/>
  <c r="L131" i="54"/>
  <c r="L132" i="54" s="1"/>
  <c r="I102" i="54" l="1"/>
  <c r="J102" i="54" s="1"/>
  <c r="F79" i="54"/>
  <c r="I49" i="54"/>
  <c r="J128" i="54"/>
  <c r="H85" i="54"/>
  <c r="L73" i="54"/>
  <c r="G61" i="54"/>
  <c r="G60" i="54" s="1"/>
  <c r="G80" i="54"/>
  <c r="G66" i="54"/>
  <c r="G68" i="54" s="1"/>
  <c r="G75" i="54" s="1"/>
  <c r="H61" i="54"/>
  <c r="H60" i="54" s="1"/>
  <c r="I67" i="54"/>
  <c r="H76" i="54"/>
  <c r="I101" i="54"/>
  <c r="C86" i="54"/>
  <c r="C84" i="54"/>
  <c r="C89" i="54" s="1"/>
  <c r="C88" i="54"/>
  <c r="E82" i="54"/>
  <c r="E56" i="54"/>
  <c r="E69" i="54" s="1"/>
  <c r="M131" i="54"/>
  <c r="I74" i="54"/>
  <c r="I47" i="54"/>
  <c r="I52" i="54"/>
  <c r="J58" i="54"/>
  <c r="F55" i="54"/>
  <c r="D71" i="54"/>
  <c r="D72" i="54" s="1"/>
  <c r="G79" i="54" l="1"/>
  <c r="J49" i="54"/>
  <c r="K128" i="54"/>
  <c r="H50" i="54"/>
  <c r="H59" i="54" s="1"/>
  <c r="I61" i="54"/>
  <c r="I60" i="54" s="1"/>
  <c r="I76" i="54"/>
  <c r="J67" i="54"/>
  <c r="K102" i="54"/>
  <c r="J101" i="54"/>
  <c r="E77" i="54"/>
  <c r="E70" i="54"/>
  <c r="F82" i="54"/>
  <c r="F56" i="54"/>
  <c r="F69" i="54" s="1"/>
  <c r="D78" i="54"/>
  <c r="D83" i="54" s="1"/>
  <c r="G53" i="54"/>
  <c r="N131" i="54"/>
  <c r="N132" i="54" s="1"/>
  <c r="J74" i="54"/>
  <c r="J52" i="54"/>
  <c r="K58" i="54"/>
  <c r="J47" i="54"/>
  <c r="M132" i="54"/>
  <c r="C87" i="54"/>
  <c r="C90" i="54" s="1"/>
  <c r="H80" i="54" l="1"/>
  <c r="H79" i="54"/>
  <c r="K49" i="54"/>
  <c r="L128" i="54"/>
  <c r="J85" i="54"/>
  <c r="N73" i="54"/>
  <c r="I85" i="54"/>
  <c r="M73" i="54"/>
  <c r="H66" i="54"/>
  <c r="H68" i="54" s="1"/>
  <c r="H75" i="54" s="1"/>
  <c r="I50" i="54"/>
  <c r="I59" i="54" s="1"/>
  <c r="I66" i="54" s="1"/>
  <c r="I68" i="54" s="1"/>
  <c r="I75" i="54" s="1"/>
  <c r="J61" i="54"/>
  <c r="J60" i="54" s="1"/>
  <c r="J76" i="54"/>
  <c r="K67" i="54"/>
  <c r="L102" i="54"/>
  <c r="K101" i="54"/>
  <c r="D86" i="54"/>
  <c r="D84" i="54"/>
  <c r="D89" i="54" s="1"/>
  <c r="D88" i="54"/>
  <c r="E71" i="54"/>
  <c r="E72" i="54" s="1"/>
  <c r="K74" i="54"/>
  <c r="L58" i="54"/>
  <c r="K52" i="54"/>
  <c r="K47" i="54"/>
  <c r="F77" i="54"/>
  <c r="F70" i="54"/>
  <c r="O131" i="54"/>
  <c r="O132" i="54" s="1"/>
  <c r="G55" i="54"/>
  <c r="H53" i="54" s="1"/>
  <c r="I79" i="54" l="1"/>
  <c r="L49" i="54"/>
  <c r="M128" i="54"/>
  <c r="K85" i="54"/>
  <c r="O73" i="54"/>
  <c r="J50" i="54"/>
  <c r="J59" i="54" s="1"/>
  <c r="K61" i="54"/>
  <c r="K60" i="54" s="1"/>
  <c r="I80" i="54"/>
  <c r="K76" i="54"/>
  <c r="L67" i="54"/>
  <c r="M102" i="54"/>
  <c r="L101" i="54"/>
  <c r="L52" i="54"/>
  <c r="L74" i="54"/>
  <c r="M58" i="54"/>
  <c r="L47" i="54"/>
  <c r="G82" i="54"/>
  <c r="G56" i="54"/>
  <c r="G69" i="54" s="1"/>
  <c r="H55" i="54"/>
  <c r="I53" i="54" s="1"/>
  <c r="F71" i="54"/>
  <c r="F72" i="54" s="1"/>
  <c r="P131" i="54"/>
  <c r="P132" i="54" s="1"/>
  <c r="E78" i="54"/>
  <c r="E83" i="54" s="1"/>
  <c r="D87" i="54"/>
  <c r="D90" i="54" s="1"/>
  <c r="J80" i="54" l="1"/>
  <c r="J79" i="54"/>
  <c r="M49" i="54"/>
  <c r="N128" i="54"/>
  <c r="L85" i="54"/>
  <c r="P73" i="54"/>
  <c r="K50" i="54"/>
  <c r="K59" i="54" s="1"/>
  <c r="J66" i="54"/>
  <c r="J68" i="54" s="1"/>
  <c r="J75" i="54" s="1"/>
  <c r="L50" i="54"/>
  <c r="L59" i="54" s="1"/>
  <c r="L76" i="54"/>
  <c r="M67" i="54"/>
  <c r="N102" i="54"/>
  <c r="M101" i="54"/>
  <c r="I55" i="54"/>
  <c r="J53" i="54" s="1"/>
  <c r="F78" i="54"/>
  <c r="F83" i="54" s="1"/>
  <c r="F86" i="54" s="1"/>
  <c r="Q131" i="54"/>
  <c r="Q132" i="54" s="1"/>
  <c r="M74" i="54"/>
  <c r="N58" i="54"/>
  <c r="M47" i="54"/>
  <c r="M52" i="54"/>
  <c r="G77" i="54"/>
  <c r="G70" i="54"/>
  <c r="E86" i="54"/>
  <c r="E88" i="54"/>
  <c r="E84" i="54"/>
  <c r="E89" i="54" s="1"/>
  <c r="H82" i="54"/>
  <c r="H56" i="54"/>
  <c r="H69" i="54" s="1"/>
  <c r="K80" i="54" l="1"/>
  <c r="K79" i="54"/>
  <c r="N49" i="54"/>
  <c r="O128" i="54"/>
  <c r="M85" i="54"/>
  <c r="Q73" i="54"/>
  <c r="K66" i="54"/>
  <c r="K68" i="54" s="1"/>
  <c r="K75" i="54" s="1"/>
  <c r="L61" i="54"/>
  <c r="L60" i="54" s="1"/>
  <c r="L66" i="54" s="1"/>
  <c r="L68" i="54" s="1"/>
  <c r="L75" i="54" s="1"/>
  <c r="L80" i="54"/>
  <c r="M50" i="54"/>
  <c r="M59" i="54" s="1"/>
  <c r="N67" i="54"/>
  <c r="M76" i="54"/>
  <c r="O102" i="54"/>
  <c r="N101" i="54"/>
  <c r="J55" i="54"/>
  <c r="H77" i="54"/>
  <c r="H70" i="54"/>
  <c r="E87" i="54"/>
  <c r="E90" i="54" s="1"/>
  <c r="F87" i="54"/>
  <c r="G71" i="54"/>
  <c r="G72" i="54" s="1"/>
  <c r="F84" i="54"/>
  <c r="F89" i="54" s="1"/>
  <c r="F88" i="54"/>
  <c r="R131" i="54"/>
  <c r="N74" i="54"/>
  <c r="N47" i="54"/>
  <c r="N52" i="54"/>
  <c r="O58" i="54"/>
  <c r="I82" i="54"/>
  <c r="I56" i="54"/>
  <c r="I69" i="54" s="1"/>
  <c r="L79" i="54" l="1"/>
  <c r="O49" i="54"/>
  <c r="P128" i="54"/>
  <c r="M61" i="54"/>
  <c r="M60" i="54" s="1"/>
  <c r="M66" i="54" s="1"/>
  <c r="M68" i="54" s="1"/>
  <c r="M75" i="54" s="1"/>
  <c r="M80" i="54"/>
  <c r="N50" i="54"/>
  <c r="N59" i="54" s="1"/>
  <c r="N76" i="54"/>
  <c r="O67" i="54"/>
  <c r="F90" i="54"/>
  <c r="P102" i="54"/>
  <c r="O101" i="54"/>
  <c r="O74" i="54"/>
  <c r="P58" i="54"/>
  <c r="O52" i="54"/>
  <c r="O47" i="54"/>
  <c r="H71" i="54"/>
  <c r="H72" i="54" s="1"/>
  <c r="S131" i="54"/>
  <c r="J82" i="54"/>
  <c r="J56" i="54"/>
  <c r="J69" i="54" s="1"/>
  <c r="I77" i="54"/>
  <c r="I70" i="54"/>
  <c r="R132" i="54"/>
  <c r="G78" i="54"/>
  <c r="G83" i="54" s="1"/>
  <c r="K53" i="54"/>
  <c r="M79" i="54" l="1"/>
  <c r="P49" i="54"/>
  <c r="Q128" i="54"/>
  <c r="N85" i="54"/>
  <c r="R73" i="54"/>
  <c r="N61" i="54"/>
  <c r="N60" i="54" s="1"/>
  <c r="N80" i="54"/>
  <c r="N66" i="54"/>
  <c r="N68" i="54" s="1"/>
  <c r="N75" i="54" s="1"/>
  <c r="O61" i="54"/>
  <c r="O60" i="54" s="1"/>
  <c r="O76" i="54"/>
  <c r="P67" i="54"/>
  <c r="Q102" i="54"/>
  <c r="P101" i="54"/>
  <c r="T131" i="54"/>
  <c r="T132" i="54" s="1"/>
  <c r="S132" i="54"/>
  <c r="H78" i="54"/>
  <c r="H83" i="54" s="1"/>
  <c r="J77" i="54"/>
  <c r="J70" i="54"/>
  <c r="Q58" i="54"/>
  <c r="P52" i="54"/>
  <c r="P74" i="54"/>
  <c r="P47" i="54"/>
  <c r="I71" i="54"/>
  <c r="K55" i="54"/>
  <c r="L53" i="54" s="1"/>
  <c r="G86" i="54"/>
  <c r="G88" i="54"/>
  <c r="G84" i="54"/>
  <c r="G89" i="54" s="1"/>
  <c r="N79" i="54" l="1"/>
  <c r="Q49" i="54"/>
  <c r="R128" i="54"/>
  <c r="O85" i="54"/>
  <c r="S73" i="54"/>
  <c r="P85" i="54"/>
  <c r="T73" i="54"/>
  <c r="O50" i="54"/>
  <c r="O59" i="54" s="1"/>
  <c r="P50" i="54"/>
  <c r="P59" i="54" s="1"/>
  <c r="Q67" i="54"/>
  <c r="P76" i="54"/>
  <c r="I78" i="54"/>
  <c r="I83" i="54" s="1"/>
  <c r="I86" i="54" s="1"/>
  <c r="Q101" i="54"/>
  <c r="R102" i="54"/>
  <c r="L55" i="54"/>
  <c r="I72" i="54"/>
  <c r="Q52" i="54"/>
  <c r="Q74" i="54"/>
  <c r="R58" i="54"/>
  <c r="Q47" i="54"/>
  <c r="K56" i="54"/>
  <c r="K69" i="54" s="1"/>
  <c r="K82" i="54"/>
  <c r="J71" i="54"/>
  <c r="G87" i="54"/>
  <c r="G90" i="54" s="1"/>
  <c r="H86" i="54"/>
  <c r="H87" i="54" s="1"/>
  <c r="H84" i="54"/>
  <c r="H89" i="54" s="1"/>
  <c r="H88" i="54"/>
  <c r="U131" i="54"/>
  <c r="U132" i="54" s="1"/>
  <c r="O79" i="54" l="1"/>
  <c r="R49" i="54"/>
  <c r="S128" i="54"/>
  <c r="Q85" i="54"/>
  <c r="U73" i="54"/>
  <c r="P80" i="54"/>
  <c r="Q61" i="54"/>
  <c r="Q60" i="54" s="1"/>
  <c r="O80" i="54"/>
  <c r="O66" i="54"/>
  <c r="O68" i="54" s="1"/>
  <c r="O75" i="54" s="1"/>
  <c r="P61" i="54"/>
  <c r="P60" i="54" s="1"/>
  <c r="P66" i="54" s="1"/>
  <c r="P68" i="54" s="1"/>
  <c r="P75" i="54" s="1"/>
  <c r="I84" i="54"/>
  <c r="I89" i="54" s="1"/>
  <c r="Q76" i="54"/>
  <c r="R67" i="54"/>
  <c r="I88" i="54"/>
  <c r="J78" i="54"/>
  <c r="J83" i="54" s="1"/>
  <c r="J86" i="54" s="1"/>
  <c r="J87" i="54" s="1"/>
  <c r="H90" i="54"/>
  <c r="I87" i="54"/>
  <c r="I90" i="54" s="1"/>
  <c r="S102" i="54"/>
  <c r="R101" i="54"/>
  <c r="J72" i="54"/>
  <c r="K77" i="54"/>
  <c r="K70" i="54"/>
  <c r="V131" i="54"/>
  <c r="V132" i="54" s="1"/>
  <c r="R74" i="54"/>
  <c r="S58" i="54"/>
  <c r="R47" i="54"/>
  <c r="R52" i="54"/>
  <c r="L82" i="54"/>
  <c r="L56" i="54"/>
  <c r="L69" i="54" s="1"/>
  <c r="M53" i="54"/>
  <c r="P79" i="54" l="1"/>
  <c r="S49" i="54"/>
  <c r="T128" i="54"/>
  <c r="R85" i="54"/>
  <c r="V73" i="54"/>
  <c r="Q50" i="54"/>
  <c r="Q59" i="54" s="1"/>
  <c r="R61" i="54"/>
  <c r="R60" i="54" s="1"/>
  <c r="R76" i="54"/>
  <c r="S67" i="54"/>
  <c r="J88" i="54"/>
  <c r="J84" i="54"/>
  <c r="J89" i="54" s="1"/>
  <c r="T102" i="54"/>
  <c r="S101" i="54"/>
  <c r="J90" i="54"/>
  <c r="L77" i="54"/>
  <c r="L70" i="54"/>
  <c r="K71" i="54"/>
  <c r="K78" i="54" s="1"/>
  <c r="K83" i="54" s="1"/>
  <c r="M55" i="54"/>
  <c r="N53" i="54" s="1"/>
  <c r="S74" i="54"/>
  <c r="T58" i="54"/>
  <c r="S52" i="54"/>
  <c r="S47" i="54"/>
  <c r="W131" i="54"/>
  <c r="Q66" i="54" l="1"/>
  <c r="Q68" i="54" s="1"/>
  <c r="Q75" i="54" s="1"/>
  <c r="Q79" i="54"/>
  <c r="T49" i="54"/>
  <c r="U128" i="54"/>
  <c r="R50" i="54"/>
  <c r="R59" i="54" s="1"/>
  <c r="S61" i="54"/>
  <c r="S60" i="54" s="1"/>
  <c r="S50" i="54"/>
  <c r="S59" i="54" s="1"/>
  <c r="Q80" i="54"/>
  <c r="T67" i="54"/>
  <c r="S76" i="54"/>
  <c r="U102" i="54"/>
  <c r="T101" i="54"/>
  <c r="N55" i="54"/>
  <c r="O53" i="54" s="1"/>
  <c r="K86" i="54"/>
  <c r="K87" i="54" s="1"/>
  <c r="K90" i="54" s="1"/>
  <c r="K84" i="54"/>
  <c r="K89" i="54" s="1"/>
  <c r="K88" i="54"/>
  <c r="X131" i="54"/>
  <c r="X132" i="54" s="1"/>
  <c r="K72" i="54"/>
  <c r="W132" i="54"/>
  <c r="T74" i="54"/>
  <c r="T47" i="54"/>
  <c r="T52" i="54"/>
  <c r="U58" i="54"/>
  <c r="L71" i="54"/>
  <c r="L78" i="54" s="1"/>
  <c r="L83" i="54" s="1"/>
  <c r="M82" i="54"/>
  <c r="M56" i="54"/>
  <c r="M69" i="54" s="1"/>
  <c r="R80" i="54" l="1"/>
  <c r="R79" i="54"/>
  <c r="S79" i="54" s="1"/>
  <c r="U49" i="54"/>
  <c r="V128" i="54"/>
  <c r="S85" i="54"/>
  <c r="W73" i="54"/>
  <c r="T85" i="54"/>
  <c r="X73" i="54"/>
  <c r="S80" i="54"/>
  <c r="R66" i="54"/>
  <c r="R68" i="54" s="1"/>
  <c r="R75" i="54" s="1"/>
  <c r="S66" i="54"/>
  <c r="S68" i="54" s="1"/>
  <c r="S75" i="54" s="1"/>
  <c r="T50" i="54"/>
  <c r="T59" i="54" s="1"/>
  <c r="T61" i="54"/>
  <c r="T60" i="54" s="1"/>
  <c r="T76" i="54"/>
  <c r="U67" i="54"/>
  <c r="U101" i="54"/>
  <c r="V102" i="54"/>
  <c r="L86" i="54"/>
  <c r="L87" i="54" s="1"/>
  <c r="L84" i="54"/>
  <c r="L89" i="54" s="1"/>
  <c r="G28" i="54" s="1"/>
  <c r="L88" i="54"/>
  <c r="L72" i="54"/>
  <c r="Y131" i="54"/>
  <c r="M77" i="54"/>
  <c r="M70" i="54"/>
  <c r="U74" i="54"/>
  <c r="V58" i="54"/>
  <c r="U52" i="54"/>
  <c r="U47" i="54"/>
  <c r="N82" i="54"/>
  <c r="N56" i="54"/>
  <c r="N69" i="54" s="1"/>
  <c r="O55" i="54"/>
  <c r="P53" i="54" s="1"/>
  <c r="T79" i="54" l="1"/>
  <c r="V49" i="54"/>
  <c r="W128" i="54"/>
  <c r="T80" i="54"/>
  <c r="T66" i="54"/>
  <c r="T68" i="54" s="1"/>
  <c r="T75" i="54" s="1"/>
  <c r="U61" i="54"/>
  <c r="U60" i="54" s="1"/>
  <c r="U76" i="54"/>
  <c r="V67" i="54"/>
  <c r="W102" i="54"/>
  <c r="V101" i="54"/>
  <c r="N77" i="54"/>
  <c r="N70" i="54"/>
  <c r="Z131" i="54"/>
  <c r="Z132" i="54" s="1"/>
  <c r="V52" i="54"/>
  <c r="W58" i="54"/>
  <c r="V47" i="54"/>
  <c r="V74" i="54"/>
  <c r="P55" i="54"/>
  <c r="O82" i="54"/>
  <c r="O56" i="54"/>
  <c r="O69" i="54" s="1"/>
  <c r="M71" i="54"/>
  <c r="M78" i="54" s="1"/>
  <c r="M83" i="54" s="1"/>
  <c r="Y132" i="54"/>
  <c r="L90" i="54"/>
  <c r="G29" i="54" s="1"/>
  <c r="G30" i="54"/>
  <c r="W49" i="54" l="1"/>
  <c r="X128" i="54"/>
  <c r="U85" i="54"/>
  <c r="Y73" i="54"/>
  <c r="V85" i="54"/>
  <c r="Z73" i="54"/>
  <c r="U50" i="54"/>
  <c r="U59" i="54" s="1"/>
  <c r="U79" i="54" s="1"/>
  <c r="V61" i="54"/>
  <c r="V60" i="54" s="1"/>
  <c r="V76" i="54"/>
  <c r="W67" i="54"/>
  <c r="X102" i="54"/>
  <c r="W101" i="54"/>
  <c r="M86" i="54"/>
  <c r="M87" i="54" s="1"/>
  <c r="M90" i="54" s="1"/>
  <c r="M88" i="54"/>
  <c r="M84" i="54"/>
  <c r="M89" i="54" s="1"/>
  <c r="M72" i="54"/>
  <c r="P56" i="54"/>
  <c r="P69" i="54" s="1"/>
  <c r="P82" i="54"/>
  <c r="N71" i="54"/>
  <c r="N78" i="54" s="1"/>
  <c r="N83" i="54" s="1"/>
  <c r="O77" i="54"/>
  <c r="O70" i="54"/>
  <c r="Q53" i="54"/>
  <c r="W74" i="54"/>
  <c r="X58" i="54"/>
  <c r="W52" i="54"/>
  <c r="W47" i="54"/>
  <c r="AA131" i="54"/>
  <c r="X49" i="54" l="1"/>
  <c r="Y128" i="54"/>
  <c r="W61" i="54"/>
  <c r="W60" i="54" s="1"/>
  <c r="U80" i="54"/>
  <c r="U66" i="54"/>
  <c r="U68" i="54" s="1"/>
  <c r="U75" i="54" s="1"/>
  <c r="V50" i="54"/>
  <c r="V59" i="54" s="1"/>
  <c r="V79" i="54" s="1"/>
  <c r="X67" i="54"/>
  <c r="W76" i="54"/>
  <c r="X101" i="54"/>
  <c r="Y102" i="54"/>
  <c r="N86" i="54"/>
  <c r="N87" i="54" s="1"/>
  <c r="N90" i="54" s="1"/>
  <c r="N88" i="54"/>
  <c r="N84" i="54"/>
  <c r="N89" i="54" s="1"/>
  <c r="P77" i="54"/>
  <c r="P70" i="54"/>
  <c r="AB131" i="54"/>
  <c r="X74" i="54"/>
  <c r="Y58" i="54"/>
  <c r="X47" i="54"/>
  <c r="X52" i="54"/>
  <c r="Q55" i="54"/>
  <c r="R53" i="54" s="1"/>
  <c r="AA132" i="54"/>
  <c r="O71" i="54"/>
  <c r="O78" i="54" s="1"/>
  <c r="O83" i="54" s="1"/>
  <c r="N72" i="54"/>
  <c r="Y49" i="54" l="1"/>
  <c r="Z128" i="54"/>
  <c r="W85" i="54"/>
  <c r="AA73" i="54"/>
  <c r="V80" i="54"/>
  <c r="W50" i="54"/>
  <c r="W59" i="54" s="1"/>
  <c r="V66" i="54"/>
  <c r="V68" i="54" s="1"/>
  <c r="V75" i="54" s="1"/>
  <c r="X50" i="54"/>
  <c r="X59" i="54" s="1"/>
  <c r="X76" i="54"/>
  <c r="Y67" i="54"/>
  <c r="O72" i="54"/>
  <c r="Z102" i="54"/>
  <c r="Y101" i="54"/>
  <c r="O86" i="54"/>
  <c r="O87" i="54" s="1"/>
  <c r="O90" i="54" s="1"/>
  <c r="O84" i="54"/>
  <c r="O89" i="54" s="1"/>
  <c r="O88" i="54"/>
  <c r="AC131" i="54"/>
  <c r="AC132" i="54" s="1"/>
  <c r="R55" i="54"/>
  <c r="S53" i="54" s="1"/>
  <c r="Y74" i="54"/>
  <c r="Y47" i="54"/>
  <c r="Y52" i="54"/>
  <c r="Z58" i="54"/>
  <c r="Q82" i="54"/>
  <c r="Q56" i="54"/>
  <c r="Q69" i="54" s="1"/>
  <c r="P71" i="54"/>
  <c r="P78" i="54" s="1"/>
  <c r="P83" i="54" s="1"/>
  <c r="AB132" i="54"/>
  <c r="W80" i="54" l="1"/>
  <c r="W79" i="54"/>
  <c r="Z49" i="54"/>
  <c r="AA128" i="54"/>
  <c r="X85" i="54"/>
  <c r="AB73" i="54"/>
  <c r="Y85" i="54"/>
  <c r="AC73" i="54"/>
  <c r="W66" i="54"/>
  <c r="W68" i="54" s="1"/>
  <c r="W75" i="54" s="1"/>
  <c r="X80" i="54"/>
  <c r="X61" i="54"/>
  <c r="X60" i="54" s="1"/>
  <c r="X66" i="54" s="1"/>
  <c r="X68" i="54" s="1"/>
  <c r="X75" i="54" s="1"/>
  <c r="Y50" i="54"/>
  <c r="Y59" i="54" s="1"/>
  <c r="Z67" i="54"/>
  <c r="Y76" i="54"/>
  <c r="AA102" i="54"/>
  <c r="Z101" i="54"/>
  <c r="P86" i="54"/>
  <c r="P87" i="54" s="1"/>
  <c r="P90" i="54" s="1"/>
  <c r="P84" i="54"/>
  <c r="P89" i="54" s="1"/>
  <c r="P88" i="54"/>
  <c r="P72" i="54"/>
  <c r="Q77" i="54"/>
  <c r="Q70" i="54"/>
  <c r="Z52" i="54"/>
  <c r="Z74" i="54"/>
  <c r="AA58" i="54"/>
  <c r="Z47" i="54"/>
  <c r="R82" i="54"/>
  <c r="R56" i="54"/>
  <c r="R69" i="54" s="1"/>
  <c r="S55" i="54"/>
  <c r="AD131" i="54"/>
  <c r="AD132" i="54" s="1"/>
  <c r="X79" i="54" l="1"/>
  <c r="AA49" i="54"/>
  <c r="AB128" i="54"/>
  <c r="Z85" i="54"/>
  <c r="AD73" i="54"/>
  <c r="Y80" i="54"/>
  <c r="Y61" i="54"/>
  <c r="Y60" i="54" s="1"/>
  <c r="Y66" i="54" s="1"/>
  <c r="Y68" i="54" s="1"/>
  <c r="Y75" i="54" s="1"/>
  <c r="Z61" i="54"/>
  <c r="Z76" i="54"/>
  <c r="AA67" i="54"/>
  <c r="AB102" i="54"/>
  <c r="AA101" i="54"/>
  <c r="Q71" i="54"/>
  <c r="Q78" i="54" s="1"/>
  <c r="Q83" i="54" s="1"/>
  <c r="S82" i="54"/>
  <c r="S56" i="54"/>
  <c r="S69" i="54" s="1"/>
  <c r="AA74" i="54"/>
  <c r="AB58" i="54"/>
  <c r="AA52" i="54"/>
  <c r="AA47" i="54"/>
  <c r="T53" i="54"/>
  <c r="R77" i="54"/>
  <c r="R70" i="54"/>
  <c r="AE131" i="54"/>
  <c r="Y79" i="54" l="1"/>
  <c r="AB49" i="54"/>
  <c r="AC128" i="54"/>
  <c r="Z50" i="54"/>
  <c r="Z59" i="54" s="1"/>
  <c r="Z60" i="54"/>
  <c r="AA61" i="54"/>
  <c r="AA60" i="54" s="1"/>
  <c r="AA76" i="54"/>
  <c r="AB67" i="54"/>
  <c r="AC102" i="54"/>
  <c r="AB101" i="54"/>
  <c r="Q86" i="54"/>
  <c r="Q87" i="54" s="1"/>
  <c r="Q90" i="54" s="1"/>
  <c r="Q84" i="54"/>
  <c r="Q89" i="54" s="1"/>
  <c r="Q88" i="54"/>
  <c r="T55" i="54"/>
  <c r="AF131" i="54"/>
  <c r="AF132" i="54" s="1"/>
  <c r="AE132" i="54"/>
  <c r="R71" i="54"/>
  <c r="R78" i="54" s="1"/>
  <c r="R83" i="54" s="1"/>
  <c r="AB52" i="54"/>
  <c r="AB74" i="54"/>
  <c r="AC58" i="54"/>
  <c r="AB47" i="54"/>
  <c r="S77" i="54"/>
  <c r="S70" i="54"/>
  <c r="Q72" i="54"/>
  <c r="Z80" i="54" l="1"/>
  <c r="Z79" i="54"/>
  <c r="AC49" i="54"/>
  <c r="AD128" i="54"/>
  <c r="AA85" i="54"/>
  <c r="AE73" i="54"/>
  <c r="AB85" i="54"/>
  <c r="AF73" i="54"/>
  <c r="Z66" i="54"/>
  <c r="Z68" i="54" s="1"/>
  <c r="Z75" i="54" s="1"/>
  <c r="AA50" i="54"/>
  <c r="AA59" i="54" s="1"/>
  <c r="AB50" i="54"/>
  <c r="AB59" i="54" s="1"/>
  <c r="AC67" i="54"/>
  <c r="AB76" i="54"/>
  <c r="AD102" i="54"/>
  <c r="AC101" i="54"/>
  <c r="S71" i="54"/>
  <c r="S78" i="54" s="1"/>
  <c r="S83" i="54" s="1"/>
  <c r="R72" i="54"/>
  <c r="AG131" i="54"/>
  <c r="AG132" i="54" s="1"/>
  <c r="R86" i="54"/>
  <c r="R87" i="54" s="1"/>
  <c r="R90" i="54" s="1"/>
  <c r="R88" i="54"/>
  <c r="R84" i="54"/>
  <c r="R89" i="54" s="1"/>
  <c r="T56" i="54"/>
  <c r="T69" i="54" s="1"/>
  <c r="T82" i="54"/>
  <c r="AC74" i="54"/>
  <c r="AD58" i="54"/>
  <c r="AC47" i="54"/>
  <c r="AC52" i="54"/>
  <c r="U53" i="54"/>
  <c r="AA66" i="54" l="1"/>
  <c r="AA68" i="54" s="1"/>
  <c r="AA75" i="54" s="1"/>
  <c r="AA79" i="54"/>
  <c r="AD49" i="54"/>
  <c r="AE128" i="54"/>
  <c r="AC85" i="54"/>
  <c r="AG73" i="54"/>
  <c r="AB80" i="54"/>
  <c r="AB61" i="54"/>
  <c r="AB60" i="54" s="1"/>
  <c r="AB66" i="54" s="1"/>
  <c r="AB68" i="54" s="1"/>
  <c r="AB75" i="54" s="1"/>
  <c r="AC50" i="54"/>
  <c r="AC59" i="54" s="1"/>
  <c r="AA80" i="54"/>
  <c r="AC76" i="54"/>
  <c r="AD67" i="54"/>
  <c r="S72" i="54"/>
  <c r="AD101" i="54"/>
  <c r="AE102" i="54"/>
  <c r="S86" i="54"/>
  <c r="S87" i="54" s="1"/>
  <c r="S90" i="54" s="1"/>
  <c r="S84" i="54"/>
  <c r="S89" i="54" s="1"/>
  <c r="S88" i="54"/>
  <c r="T77" i="54"/>
  <c r="T70" i="54"/>
  <c r="U55" i="54"/>
  <c r="AD74" i="54"/>
  <c r="AD47" i="54"/>
  <c r="AD52" i="54"/>
  <c r="AE58" i="54"/>
  <c r="AB79" i="54" l="1"/>
  <c r="AE49" i="54"/>
  <c r="AF128" i="54"/>
  <c r="AC80" i="54"/>
  <c r="AC61" i="54"/>
  <c r="AC60" i="54" s="1"/>
  <c r="AC66" i="54" s="1"/>
  <c r="AC68" i="54" s="1"/>
  <c r="AC75" i="54" s="1"/>
  <c r="AD61" i="54"/>
  <c r="AD60" i="54" s="1"/>
  <c r="AD76" i="54"/>
  <c r="AE67" i="54"/>
  <c r="AF102" i="54"/>
  <c r="AE101" i="54"/>
  <c r="U56" i="54"/>
  <c r="U69" i="54" s="1"/>
  <c r="U82" i="54"/>
  <c r="AE74" i="54"/>
  <c r="AF58" i="54"/>
  <c r="AE52" i="54"/>
  <c r="AE47" i="54"/>
  <c r="AE85" i="54"/>
  <c r="T71" i="54"/>
  <c r="T78" i="54" s="1"/>
  <c r="T83" i="54" s="1"/>
  <c r="AD85" i="54"/>
  <c r="V53" i="54"/>
  <c r="AC79" i="54" l="1"/>
  <c r="AF49" i="54"/>
  <c r="AG128" i="54"/>
  <c r="AG49" i="54" s="1"/>
  <c r="AE61" i="54"/>
  <c r="AD50" i="54"/>
  <c r="AD59" i="54" s="1"/>
  <c r="AD79" i="54" s="1"/>
  <c r="AF67" i="54"/>
  <c r="AE76" i="54"/>
  <c r="AF101" i="54"/>
  <c r="AG102" i="54"/>
  <c r="T86" i="54"/>
  <c r="T87" i="54" s="1"/>
  <c r="T90" i="54" s="1"/>
  <c r="T84" i="54"/>
  <c r="T89" i="54" s="1"/>
  <c r="T88" i="54"/>
  <c r="U77" i="54"/>
  <c r="U70" i="54"/>
  <c r="V55" i="54"/>
  <c r="T72" i="54"/>
  <c r="AF74" i="54"/>
  <c r="AG58" i="54"/>
  <c r="AF52" i="54"/>
  <c r="AF47" i="54"/>
  <c r="AE50" i="54" l="1"/>
  <c r="AE59" i="54" s="1"/>
  <c r="AE60" i="54"/>
  <c r="AD80" i="54"/>
  <c r="AF61" i="54"/>
  <c r="AF60" i="54" s="1"/>
  <c r="AD66" i="54"/>
  <c r="AD68" i="54" s="1"/>
  <c r="AD75" i="54" s="1"/>
  <c r="AG67" i="54"/>
  <c r="AF76" i="54"/>
  <c r="AG101" i="54"/>
  <c r="AG52" i="54"/>
  <c r="AG47" i="54"/>
  <c r="AG74" i="54"/>
  <c r="V82" i="54"/>
  <c r="V56" i="54"/>
  <c r="V69" i="54" s="1"/>
  <c r="AG85" i="54"/>
  <c r="U71" i="54"/>
  <c r="U78" i="54" s="1"/>
  <c r="U83" i="54" s="1"/>
  <c r="AF85" i="54"/>
  <c r="W53" i="54"/>
  <c r="AE80" i="54" l="1"/>
  <c r="AE79" i="54"/>
  <c r="AF50" i="54"/>
  <c r="AF59" i="54" s="1"/>
  <c r="AE66" i="54"/>
  <c r="AE68" i="54" s="1"/>
  <c r="AE75" i="54" s="1"/>
  <c r="AG61" i="54"/>
  <c r="AG60" i="54" s="1"/>
  <c r="AG76" i="54"/>
  <c r="U72" i="54"/>
  <c r="U86" i="54"/>
  <c r="U87" i="54" s="1"/>
  <c r="U90" i="54" s="1"/>
  <c r="U84" i="54"/>
  <c r="U89" i="54" s="1"/>
  <c r="U88" i="54"/>
  <c r="W55" i="54"/>
  <c r="V77" i="54"/>
  <c r="V70" i="54"/>
  <c r="AF80" i="54" l="1"/>
  <c r="AF79" i="54"/>
  <c r="AF66" i="54"/>
  <c r="AF68" i="54" s="1"/>
  <c r="AF75" i="54" s="1"/>
  <c r="AG50" i="54"/>
  <c r="AG59" i="54" s="1"/>
  <c r="AG79" i="54" s="1"/>
  <c r="W82" i="54"/>
  <c r="W56" i="54"/>
  <c r="W69" i="54" s="1"/>
  <c r="V71" i="54"/>
  <c r="V78" i="54" s="1"/>
  <c r="V83" i="54" s="1"/>
  <c r="X53" i="54"/>
  <c r="AG80" i="54" l="1"/>
  <c r="AG66" i="54"/>
  <c r="AG68" i="54" s="1"/>
  <c r="AG75" i="54" s="1"/>
  <c r="V86" i="54"/>
  <c r="V87" i="54" s="1"/>
  <c r="V90" i="54" s="1"/>
  <c r="V88" i="54"/>
  <c r="V84" i="54"/>
  <c r="V89" i="54" s="1"/>
  <c r="V72" i="54"/>
  <c r="W77" i="54"/>
  <c r="W70" i="54"/>
  <c r="X55" i="54"/>
  <c r="W71" i="54" l="1"/>
  <c r="W78" i="54" s="1"/>
  <c r="W83" i="54" s="1"/>
  <c r="X82" i="54"/>
  <c r="X56" i="54"/>
  <c r="X69" i="54" s="1"/>
  <c r="Y53" i="54"/>
  <c r="W86" i="54" l="1"/>
  <c r="W87" i="54" s="1"/>
  <c r="W90" i="54" s="1"/>
  <c r="W88" i="54"/>
  <c r="W84" i="54"/>
  <c r="W89" i="54" s="1"/>
  <c r="Y55" i="54"/>
  <c r="Z53" i="54" s="1"/>
  <c r="W72" i="54"/>
  <c r="X77" i="54"/>
  <c r="X70" i="54"/>
  <c r="Z55" i="54" l="1"/>
  <c r="Y82" i="54"/>
  <c r="Y56" i="54"/>
  <c r="Y69" i="54" s="1"/>
  <c r="X71" i="54"/>
  <c r="X78" i="54" s="1"/>
  <c r="X83" i="54" s="1"/>
  <c r="X72" i="54" l="1"/>
  <c r="X86" i="54"/>
  <c r="X87" i="54" s="1"/>
  <c r="X90" i="54" s="1"/>
  <c r="X84" i="54"/>
  <c r="X89" i="54" s="1"/>
  <c r="X88" i="54"/>
  <c r="Y77" i="54"/>
  <c r="Y70" i="54"/>
  <c r="Z82" i="54"/>
  <c r="Z56" i="54"/>
  <c r="Z69" i="54" s="1"/>
  <c r="AA53" i="54"/>
  <c r="AA55" i="54" l="1"/>
  <c r="Z77" i="54"/>
  <c r="Z70" i="54"/>
  <c r="Y71" i="54"/>
  <c r="Y78" i="54" s="1"/>
  <c r="Y83" i="54" s="1"/>
  <c r="Y72" i="54" l="1"/>
  <c r="Y86" i="54"/>
  <c r="Y87" i="54" s="1"/>
  <c r="Y90" i="54" s="1"/>
  <c r="Y84" i="54"/>
  <c r="Y89" i="54" s="1"/>
  <c r="Y88" i="54"/>
  <c r="AA82" i="54"/>
  <c r="AA56" i="54"/>
  <c r="AA69" i="54" s="1"/>
  <c r="Z71" i="54"/>
  <c r="Z78" i="54" s="1"/>
  <c r="Z83" i="54" s="1"/>
  <c r="AB53" i="54"/>
  <c r="Z86" i="54" l="1"/>
  <c r="Z87" i="54" s="1"/>
  <c r="Z90" i="54" s="1"/>
  <c r="Z84" i="54"/>
  <c r="Z89" i="54" s="1"/>
  <c r="Z88" i="54"/>
  <c r="AB55" i="54"/>
  <c r="Z72" i="54"/>
  <c r="AA77" i="54"/>
  <c r="AA70" i="54"/>
  <c r="AB82" i="54" l="1"/>
  <c r="AB56" i="54"/>
  <c r="AB69" i="54" s="1"/>
  <c r="AA71" i="54"/>
  <c r="AA78" i="54" s="1"/>
  <c r="AA83" i="54" s="1"/>
  <c r="AC53" i="54"/>
  <c r="AA72" i="54" l="1"/>
  <c r="AA86" i="54"/>
  <c r="AA87" i="54" s="1"/>
  <c r="AA90" i="54" s="1"/>
  <c r="AA84" i="54"/>
  <c r="AA89" i="54" s="1"/>
  <c r="AA88" i="54"/>
  <c r="AC55" i="54"/>
  <c r="AD53" i="54" s="1"/>
  <c r="AB77" i="54"/>
  <c r="AB70" i="54"/>
  <c r="AB71" i="54" l="1"/>
  <c r="AB78" i="54" s="1"/>
  <c r="AB83" i="54" s="1"/>
  <c r="AD55" i="54"/>
  <c r="AE53" i="54" s="1"/>
  <c r="AC82" i="54"/>
  <c r="AC56" i="54"/>
  <c r="AC69" i="54" s="1"/>
  <c r="AC77" i="54" l="1"/>
  <c r="AC70" i="54"/>
  <c r="AB86" i="54"/>
  <c r="AB87" i="54" s="1"/>
  <c r="AB90" i="54" s="1"/>
  <c r="AB84" i="54"/>
  <c r="AB89" i="54" s="1"/>
  <c r="AB88" i="54"/>
  <c r="AB72" i="54"/>
  <c r="AE55" i="54"/>
  <c r="AF53" i="54" s="1"/>
  <c r="AD82" i="54"/>
  <c r="AD56" i="54"/>
  <c r="AD69" i="54" s="1"/>
  <c r="AD77" i="54" l="1"/>
  <c r="AD70" i="54"/>
  <c r="AF55" i="54"/>
  <c r="AG53" i="54" s="1"/>
  <c r="AE82" i="54"/>
  <c r="AE56" i="54"/>
  <c r="AE69" i="54" s="1"/>
  <c r="AC71" i="54"/>
  <c r="AC78" i="54" s="1"/>
  <c r="AC83" i="54" s="1"/>
  <c r="AG55" i="54" l="1"/>
  <c r="AC86" i="54"/>
  <c r="AC87" i="54" s="1"/>
  <c r="AC90" i="54" s="1"/>
  <c r="AC88" i="54"/>
  <c r="AC84" i="54"/>
  <c r="AC89" i="54" s="1"/>
  <c r="AE77" i="54"/>
  <c r="AE70" i="54"/>
  <c r="AD71" i="54"/>
  <c r="AD78" i="54" s="1"/>
  <c r="AD83" i="54" s="1"/>
  <c r="AF56" i="54"/>
  <c r="AF69" i="54" s="1"/>
  <c r="AF82" i="54"/>
  <c r="AC72" i="54"/>
  <c r="AD86" i="54" l="1"/>
  <c r="AD87" i="54" s="1"/>
  <c r="AD90" i="54" s="1"/>
  <c r="AD84" i="54"/>
  <c r="AD89" i="54" s="1"/>
  <c r="AD88" i="54"/>
  <c r="AE71" i="54"/>
  <c r="AE78" i="54" s="1"/>
  <c r="AE83" i="54" s="1"/>
  <c r="AF77" i="54"/>
  <c r="AF70" i="54"/>
  <c r="AD72" i="54"/>
  <c r="AG82" i="54"/>
  <c r="AG56" i="54"/>
  <c r="AG69" i="54" s="1"/>
  <c r="AE72" i="54" l="1"/>
  <c r="AG77" i="54"/>
  <c r="AG70" i="54"/>
  <c r="AF71" i="54"/>
  <c r="AF78" i="54" s="1"/>
  <c r="AF83" i="54" s="1"/>
  <c r="AE86" i="54"/>
  <c r="AE87" i="54" s="1"/>
  <c r="AE90" i="54" s="1"/>
  <c r="AE84" i="54"/>
  <c r="AE89" i="54" s="1"/>
  <c r="AE88" i="54"/>
  <c r="AF86" i="54" l="1"/>
  <c r="AF87" i="54" s="1"/>
  <c r="AF90" i="54" s="1"/>
  <c r="AF88" i="54"/>
  <c r="AF84" i="54"/>
  <c r="AF89" i="54" s="1"/>
  <c r="AG71" i="54"/>
  <c r="AG78" i="54" s="1"/>
  <c r="AG83" i="54" s="1"/>
  <c r="AF72" i="54"/>
  <c r="AG86" i="54" l="1"/>
  <c r="AG87" i="54" s="1"/>
  <c r="AG90" i="54" s="1"/>
  <c r="AG88" i="54"/>
  <c r="AG84" i="54"/>
  <c r="AG89" i="54" s="1"/>
  <c r="AG72" i="54"/>
  <c r="B27" i="53" l="1"/>
  <c r="B82" i="53" s="1"/>
  <c r="G26" i="5"/>
  <c r="G28" i="5" s="1"/>
  <c r="B79" i="53" l="1"/>
  <c r="B78" i="53"/>
  <c r="B77" i="53" s="1"/>
  <c r="D24" i="15"/>
  <c r="E24" i="15"/>
  <c r="F24" i="15"/>
  <c r="C24" i="15"/>
  <c r="A15" i="53" l="1"/>
  <c r="B21" i="53" s="1"/>
  <c r="A12" i="53"/>
  <c r="A9" i="53"/>
  <c r="B60" i="53"/>
  <c r="B87" i="53"/>
  <c r="B85" i="53"/>
  <c r="B58" i="53"/>
  <c r="B41" i="53"/>
  <c r="B72" i="53"/>
  <c r="B30" i="53" l="1"/>
  <c r="B75" i="53" s="1"/>
  <c r="B34" i="53"/>
  <c r="B47" i="53"/>
  <c r="B55" i="53"/>
  <c r="B68" i="53"/>
  <c r="B38" i="53"/>
  <c r="B43" i="53"/>
  <c r="B51" i="53"/>
  <c r="B64" i="53"/>
  <c r="J23" i="12"/>
  <c r="C23" i="6" s="1"/>
  <c r="H23" i="12"/>
  <c r="C40" i="7" s="1"/>
  <c r="S23" i="12"/>
  <c r="A15" i="12" l="1"/>
  <c r="A8" i="17" l="1"/>
  <c r="E9" i="14"/>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<sst xmlns="http://schemas.openxmlformats.org/spreadsheetml/2006/main" count="1167" uniqueCount="720">
  <si>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</si>
  <si>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</si>
  <si>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</si>
  <si>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</si>
  <si>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</si>
  <si>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</si>
  <si>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</si>
  <si>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</si>
  <si>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</si>
  <si>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</si>
  <si>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</si>
  <si>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</si>
  <si>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</si>
  <si>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</si>
  <si>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</si>
  <si>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</si>
  <si>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</si>
  <si>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</si>
  <si>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</si>
  <si>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</si>
  <si>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</si>
  <si>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</si>
  <si>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</si>
  <si>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</si>
  <si>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</si>
  <si>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</si>
  <si>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</si>
  <si>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</si>
  <si>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</si>
  <si>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</si>
  <si>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</si>
  <si>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</si>
  <si>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</si>
  <si>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</si>
  <si>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</si>
  <si>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</si>
  <si>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</si>
  <si>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</si>
  <si>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</si>
  <si>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</si>
  <si>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</si>
  <si>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</si>
  <si>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</si>
  <si>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</si>
  <si>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</si>
  <si>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</si>
  <si>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</si>
  <si>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</si>
  <si>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</si>
  <si>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</si>
  <si>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</si>
  <si>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</si>
  <si>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</si>
  <si>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</si>
  <si>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</si>
  <si>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</si>
  <si>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</si>
  <si>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</si>
  <si>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</si>
  <si>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</si>
  <si>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</si>
  <si>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</si>
  <si>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</si>
  <si>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</si>
  <si>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</si>
  <si>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</si>
  <si>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</si>
  <si>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</si>
  <si>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</si>
  <si>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</si>
  <si>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</si>
  <si>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</si>
  <si>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</si>
  <si>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</si>
  <si>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</si>
  <si>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</si>
  <si>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</si>
  <si>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</si>
  <si>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</si>
  <si>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</si>
  <si>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</si>
  <si>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</si>
  <si>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</si>
  <si>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</si>
  <si>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</si>
  <si>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</si>
  <si>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</si>
  <si>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</si>
  <si>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</si>
  <si>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</si>
  <si>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</si>
  <si>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</si>
  <si>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</si>
  <si>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</si>
  <si>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</si>
  <si>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</si>
  <si>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</si>
  <si>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</si>
  <si>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</si>
  <si>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</si>
  <si>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</si>
  <si>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</si>
  <si>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</si>
  <si>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</si>
  <si>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</si>
  <si>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</si>
  <si>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</si>
  <si>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</si>
  <si>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</si>
  <si>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</si>
  <si>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</si>
  <si>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</si>
  <si>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</si>
  <si>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</si>
  <si>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</si>
  <si>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</si>
  <si>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</si>
  <si>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</si>
  <si>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</si>
  <si>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</si>
  <si>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</si>
  <si>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</si>
  <si>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</si>
  <si>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</si>
  <si>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</si>
  <si>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</si>
  <si>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</si>
  <si>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</si>
  <si>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</si>
  <si>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</si>
  <si>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</si>
  <si>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</si>
  <si>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</si>
  <si>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</si>
  <si>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</si>
  <si>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</si>
  <si>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</si>
  <si>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</si>
  <si>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</si>
  <si>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</si>
  <si>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</si>
  <si>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</si>
  <si>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</si>
  <si>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</si>
  <si>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</si>
  <si>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</si>
  <si>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</si>
  <si>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</si>
  <si>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</si>
  <si>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</si>
  <si>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</si>
  <si>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</si>
  <si>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</si>
  <si>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</si>
  <si>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</si>
  <si>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</si>
  <si>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</si>
  <si>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</si>
  <si>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</si>
  <si>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</si>
  <si>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</si>
  <si>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</si>
  <si>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</si>
  <si>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</si>
  <si>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</si>
  <si>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</si>
  <si>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</si>
  <si>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</si>
  <si>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</si>
  <si>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</si>
  <si>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</si>
  <si>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</si>
  <si>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</si>
  <si>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</si>
  <si>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</si>
  <si>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</si>
  <si>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</si>
  <si>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</si>
  <si>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</si>
  <si>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</si>
  <si>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</si>
  <si>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</si>
  <si>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</si>
  <si>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</si>
  <si>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</si>
  <si>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</si>
  <si>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</si>
  <si>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</si>
  <si>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</si>
  <si>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</si>
  <si>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</si>
  <si>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</si>
  <si>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</si>
  <si>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</si>
  <si>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</si>
  <si>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</si>
  <si>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</si>
  <si>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</si>
  <si>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</si>
  <si>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</si>
  <si>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</si>
  <si>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</si>
  <si>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</si>
  <si>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</si>
  <si>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</si>
  <si>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</si>
  <si>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</si>
  <si>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</si>
  <si>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</si>
  <si>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</si>
  <si>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</si>
  <si>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</si>
  <si>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</si>
  <si>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</si>
  <si>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</si>
  <si>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</si>
  <si>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</si>
  <si>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</si>
  <si>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</si>
  <si>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</si>
  <si>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</si>
  <si>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</si>
  <si>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</si>
  <si>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</si>
  <si>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</si>
  <si>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</si>
  <si>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</si>
  <si>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</si>
  <si>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</si>
  <si>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</si>
  <si>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</si>
  <si>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</si>
  <si>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</si>
  <si>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</si>
  <si>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</si>
  <si>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</si>
  <si>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</si>
  <si>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</si>
  <si>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</si>
  <si>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</si>
  <si>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</si>
  <si>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</si>
  <si>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</si>
  <si>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</si>
  <si>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</si>
  <si>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</si>
  <si>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</si>
  <si>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</si>
  <si>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</si>
  <si>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</si>
  <si>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</si>
  <si>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</si>
  <si>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</si>
  <si>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</si>
  <si>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</si>
  <si>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</si>
  <si>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</si>
  <si>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</si>
  <si>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</si>
  <si>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</si>
  <si>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</si>
  <si>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</si>
  <si>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</si>
  <si>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</si>
  <si>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</si>
  <si>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</si>
  <si>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</si>
  <si>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</si>
  <si>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</si>
  <si>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</si>
  <si>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</si>
  <si>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</si>
  <si>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</si>
  <si>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</si>
  <si>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</si>
  <si>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</si>
  <si>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</si>
  <si>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</si>
  <si>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</si>
  <si>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</si>
  <si>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</si>
  <si>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</si>
  <si>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</si>
  <si>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</si>
  <si>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</si>
  <si>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</si>
  <si>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</si>
  <si>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</si>
  <si>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</si>
  <si>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</si>
  <si>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</si>
  <si>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</si>
  <si>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</si>
  <si>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</si>
  <si>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</si>
  <si>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</si>
  <si>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</si>
  <si>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</si>
  <si>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</si>
  <si>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</si>
  <si>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</si>
  <si>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</si>
  <si>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</si>
  <si>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</si>
  <si>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</si>
  <si>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</si>
  <si>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</si>
  <si>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</si>
  <si>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</si>
  <si>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</si>
  <si>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</si>
  <si>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</si>
  <si>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</si>
  <si>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</si>
  <si>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</si>
  <si>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</si>
  <si>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</si>
  <si>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</si>
  <si>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</si>
  <si>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</si>
  <si>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</si>
  <si>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</si>
  <si>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</si>
  <si>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</si>
  <si>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</si>
  <si>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</si>
  <si>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</si>
  <si>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</si>
  <si>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</si>
  <si>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</si>
  <si>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</si>
  <si>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</si>
  <si>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</si>
  <si>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</si>
  <si>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</si>
  <si>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</si>
  <si>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</si>
  <si>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</si>
  <si>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</si>
  <si>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</si>
  <si>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</si>
  <si>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</si>
  <si>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</si>
  <si>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</si>
  <si>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</si>
  <si>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</si>
  <si>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</si>
  <si>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</si>
  <si>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</si>
  <si>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</si>
  <si>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</si>
  <si>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</si>
  <si>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</si>
  <si>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</si>
  <si>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</si>
  <si>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</si>
  <si>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</si>
  <si>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</si>
  <si>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</si>
  <si>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</si>
  <si>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</si>
  <si>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</si>
  <si>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</si>
  <si>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</si>
  <si>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</si>
  <si>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</si>
  <si>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</si>
  <si>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</si>
  <si>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</si>
  <si>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</si>
  <si>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</si>
  <si>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</si>
  <si>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</si>
  <si>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</si>
  <si>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</si>
  <si>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</si>
  <si>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</si>
  <si>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</si>
  <si>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</si>
  <si>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</si>
  <si>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</si>
  <si>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</si>
  <si>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</si>
  <si>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</si>
  <si>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</si>
  <si>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</si>
  <si>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</si>
  <si>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</si>
  <si>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</si>
  <si>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</si>
  <si>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</si>
  <si>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</si>
  <si>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</si>
  <si>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</si>
  <si>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</si>
  <si>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</si>
  <si>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</si>
  <si>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</si>
  <si>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</si>
  <si>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</si>
  <si>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</si>
  <si>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</si>
  <si>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</si>
  <si>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</si>
  <si>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</si>
  <si>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</si>
  <si>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</si>
  <si>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</si>
  <si>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</si>
  <si>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</si>
  <si>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</si>
  <si>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</si>
  <si>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</si>
  <si>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</si>
  <si>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</si>
  <si>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</si>
  <si>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</si>
  <si>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</si>
  <si>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</si>
  <si>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</si>
  <si>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</si>
  <si>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</si>
  <si>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</si>
  <si>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</si>
  <si>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</si>
  <si>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</si>
  <si>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</si>
  <si>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</si>
  <si>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</si>
  <si>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</si>
  <si>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</si>
  <si>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</si>
  <si>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</si>
  <si>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</si>
  <si>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</si>
  <si>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</si>
  <si>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</si>
  <si>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</si>
  <si>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</si>
  <si>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</si>
  <si>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</si>
  <si>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</si>
  <si>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</si>
  <si>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</si>
  <si>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</si>
  <si>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</si>
  <si>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</si>
  <si>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</si>
  <si>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</si>
  <si>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</si>
  <si>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</si>
  <si>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</si>
  <si>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</si>
  <si>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</si>
  <si>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</si>
  <si>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</si>
  <si>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</si>
  <si>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</si>
  <si>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</si>
  <si>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</si>
  <si>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</si>
  <si>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</si>
  <si>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</si>
  <si>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</si>
  <si>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</si>
  <si>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</si>
  <si>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</si>
  <si>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</si>
  <si>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</si>
  <si>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</si>
  <si>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</si>
  <si>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</si>
  <si>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</si>
  <si>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</si>
  <si>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</si>
  <si>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</si>
  <si>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</si>
  <si>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</si>
  <si>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</si>
  <si>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</si>
  <si>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</si>
  <si>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</si>
  <si>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</si>
  <si>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</si>
  <si>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</si>
  <si>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</si>
  <si>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</si>
  <si>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</si>
  <si>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</si>
  <si>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</si>
  <si>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</si>
  <si>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</si>
  <si>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</si>
  <si>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</si>
  <si>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</si>
  <si>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</si>
  <si>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</si>
  <si>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</si>
  <si>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</si>
  <si>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</si>
  <si>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</si>
  <si>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</si>
  <si>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</si>
  <si>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</si>
  <si>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</si>
  <si>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</si>
  <si>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</si>
  <si>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</si>
  <si>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</si>
  <si>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</si>
  <si>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</si>
  <si>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</si>
  <si>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</si>
  <si>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</si>
  <si>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</si>
  <si>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</si>
  <si>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</si>
  <si>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</si>
  <si>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</si>
  <si>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</si>
  <si>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</si>
  <si>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</si>
  <si>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</si>
  <si>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</si>
  <si>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</si>
  <si>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</si>
  <si>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</si>
  <si>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</si>
  <si>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</si>
  <si>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</si>
  <si>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</si>
  <si>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</si>
  <si>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</si>
  <si>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</si>
  <si>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</si>
  <si>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</si>
  <si>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</si>
  <si>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</si>
  <si>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</si>
  <si>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</si>
  <si>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</si>
  <si>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</si>
  <si>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</si>
  <si>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</si>
  <si>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</si>
  <si>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</si>
  <si>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</si>
  <si>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</si>
  <si>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</si>
  <si>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</si>
  <si>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</si>
  <si>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</si>
  <si>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</si>
  <si>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</si>
  <si>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</si>
  <si>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</si>
  <si>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</si>
  <si>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</si>
  <si>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</si>
  <si>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</si>
  <si>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</si>
  <si>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</si>
  <si>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</si>
  <si>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</si>
  <si>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</si>
  <si>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</si>
  <si>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</si>
  <si>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</si>
  <si>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</si>
  <si>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</si>
  <si>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</si>
  <si>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</si>
  <si>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</si>
  <si>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</si>
  <si>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</si>
  <si>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</si>
  <si>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</si>
  <si>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</si>
  <si>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</si>
  <si>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</si>
  <si>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</si>
  <si>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</si>
  <si>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</si>
  <si>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</si>
  <si>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</si>
  <si>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</si>
  <si>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</si>
  <si>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</si>
  <si>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</si>
  <si>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</si>
  <si>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</si>
  <si>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</si>
  <si>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</si>
  <si>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</si>
  <si>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</si>
  <si>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</si>
  <si>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</si>
  <si>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</si>
  <si>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</si>
  <si>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</si>
  <si>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</si>
  <si>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</si>
  <si>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</si>
  <si>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</si>
  <si>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</si>
  <si>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</si>
  <si>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</si>
  <si>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</si>
  <si>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</si>
  <si>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</si>
  <si>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</si>
  <si>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</si>
  <si>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</si>
  <si>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</si>
  <si>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</si>
  <si>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</si>
  <si>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</si>
  <si>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</si>
  <si>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</si>
  <si>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</si>
  <si>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</si>
  <si>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</si>
  <si>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</si>
  <si>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</si>
  <si>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</si>
  <si>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</si>
  <si>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</si>
  <si>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</si>
  <si>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</si>
  <si>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</si>
  <si>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</si>
  <si>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</si>
  <si>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</si>
  <si>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</si>
  <si>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ТМГ</t>
  </si>
  <si>
    <t>Увеличение объема услуг по передаче электрической энергии.</t>
  </si>
  <si>
    <t>0.4 кВ</t>
  </si>
  <si>
    <t>предложения по корректировке плана</t>
  </si>
  <si>
    <t>отсутствуют</t>
  </si>
  <si>
    <t>ВЛ</t>
  </si>
  <si>
    <t>Согласну Приказа АО ЯЭ от 26.01.2018 № 25</t>
  </si>
  <si>
    <t>ВКЛ</t>
  </si>
  <si>
    <t>ПС (ПС + ВЛ, ПС + КЛ, ПС + ВКЛ)</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</si>
  <si>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</si>
  <si>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</si>
  <si>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Городской округ "Город Калининград"</t>
  </si>
  <si>
    <t>Сметная стоимость проекта в ценах 2019 года с НДС, млн. руб.</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</si>
  <si>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</si>
  <si>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</si>
  <si>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</si>
  <si>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</si>
  <si>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</si>
  <si>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</si>
  <si>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</si>
  <si>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</si>
  <si>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</si>
  <si>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</si>
  <si>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</si>
  <si>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</si>
  <si>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</si>
  <si>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</si>
  <si>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</si>
  <si>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Реконструкция</t>
  </si>
  <si>
    <t>ГП</t>
  </si>
  <si>
    <t>УР</t>
  </si>
  <si>
    <t>ВЗ</t>
  </si>
  <si>
    <t>ОЗП</t>
  </si>
  <si>
    <t xml:space="preserve">https://rosseti.roseltorg.ru/ </t>
  </si>
  <si>
    <t>K_18-1115</t>
  </si>
  <si>
    <t>Строительство КТП 10/0,4 кВ (новой), КЛ-10 кВ и КЛ-1 от КТП (новой) по ул. Портовая-Ленинский проспект, реконструкция ТП-775 (инв. № 5458635) в г. Калининграде</t>
  </si>
  <si>
    <t>6846/09/18 д/с № 3 от 29.06.2020</t>
  </si>
  <si>
    <t>6846/09/18 от 24.10.2018</t>
  </si>
  <si>
    <t>Ожидание подачи ЛФВТУ</t>
  </si>
  <si>
    <t>Калининградская обл, Калининград г, Ленинский пр-кт - Портовая ул</t>
  </si>
  <si>
    <t>Магазин</t>
  </si>
  <si>
    <t xml:space="preserve">1) нижние контактные стойки ПН в РУ-0,4 кВ ТП-775 (I секция);      
2) нижние контактные стойки ПН в РУ-0,4 кВ ТП-775 (II секция).    </t>
  </si>
  <si>
    <t>10.1. В ТП-775 произвести замену трансформаторов (Т-1 и Т-2) 10/0,4 кВ 250 кВА на трансформаторы 10/0,4 кВ 1000 кВА (ТМГ), при необходимости произвести замену в/в предохранителей, в/в и н/в трансформаторных перемычек. Произвести реконструкцию строительной части ТП-775. Объем работ определить техническим заданием. 
10.2. При необходимости в РУ-0,4 кВ (I и II секции) ТП-775 смонтировать группы "рубильник-предохранитель".</t>
  </si>
  <si>
    <t>ТП 10 кВ № 775</t>
  </si>
  <si>
    <t>Т-1, Т-2</t>
  </si>
  <si>
    <t>ВН Т-1, ВН Т-2</t>
  </si>
  <si>
    <t>ТМГ-12-1000/10-У1</t>
  </si>
  <si>
    <t>ВН-10 2шт.</t>
  </si>
  <si>
    <t xml:space="preserve">Реконструкция ТП-775  замена трансформаторов Т-1, Т-2 мощностью 2х250 кВА на 2х1000 кВА, ВН-10 кВ в г. Калининграде </t>
  </si>
  <si>
    <t>З</t>
  </si>
  <si>
    <t>2021</t>
  </si>
  <si>
    <t>Разработка рабочей документации  по объекту "Строительство КТП 10/0,4 кВ (новой), КЛ-10 кВ и КЛ-1 от КТП (новой) по ул. Портовая - Ленинский проспект, реконструкция ТП-775 (инв. № 5458635) в г. Калининграде</t>
  </si>
  <si>
    <t>"Янтарьэнерго" АО ДКС (юр.лица)</t>
  </si>
  <si>
    <t>"ЭНЕРГИЯ" ООО</t>
  </si>
  <si>
    <t xml:space="preserve"> 31907734735 </t>
  </si>
  <si>
    <t>"Вита-Строй" ООО</t>
  </si>
  <si>
    <t>ПИР</t>
  </si>
  <si>
    <t>ПСД, утв. Приказом 248 от 27.07.2020</t>
  </si>
  <si>
    <t>ПИР ООО "Энергия" договор № 007/05/19 от 31.05.2019</t>
  </si>
  <si>
    <t>силовые трансформаторы 10/0,4 кВ ТМГ-12-1000/10 кВА - 2шт.</t>
  </si>
  <si>
    <t xml:space="preserve">СМР с поставкой оборудования ООО "Энергия" договор № 025/03/21 от 25.03.2021 </t>
  </si>
  <si>
    <t xml:space="preserve"> по состоянию на 01.01.2020</t>
  </si>
  <si>
    <t xml:space="preserve"> по состоянию на 01.01.2021</t>
  </si>
  <si>
    <t xml:space="preserve">факт 2020 года </t>
  </si>
  <si>
    <t>2021 год</t>
  </si>
  <si>
    <t>2022 год</t>
  </si>
  <si>
    <t>2023 год</t>
  </si>
  <si>
    <t>Выполнение СМР с поставкой оборудования  по объекту "Строительство КТП 10/0,4 кВ (новой), КЛ-10 кВ и КЛ-1 от КТП (новой) по ул. Портовая - Ленинский проспект, реконструкция ТП-775 (инв. № 5458635) в г. Калининграде</t>
  </si>
  <si>
    <t>ПСД</t>
  </si>
  <si>
    <t>"Тесла" ООО</t>
  </si>
  <si>
    <t>"Энергоинжиниринг" ООО</t>
  </si>
  <si>
    <t>"Энергопроект" ООО</t>
  </si>
  <si>
    <t>СМР с поставкой оборудования ООО "Энергия" договор № 025/03/21 от 25.03.2021 в ценах 2021 года без НДС, млн. руб.</t>
  </si>
  <si>
    <t xml:space="preserve">https://msp.roseltorg.ru/ </t>
  </si>
  <si>
    <t>НДС не облагается</t>
  </si>
  <si>
    <t>ВНР-10/630 2шт.</t>
  </si>
  <si>
    <t>Реконструкция ТП - 1,54 млн руб/МВА</t>
  </si>
  <si>
    <t xml:space="preserve">Принят к бухгалтерскому учету, оформлен акт приемки законченного строительством объекта </t>
  </si>
  <si>
    <r>
      <t>другое, шт.</t>
    </r>
    <r>
      <rPr>
        <vertAlign val="superscript"/>
        <sz val="12"/>
        <color rgb="FF000000"/>
        <rFont val="Times New Roman"/>
        <family val="1"/>
        <charset val="204"/>
      </rPr>
      <t>3)</t>
    </r>
  </si>
  <si>
    <t xml:space="preserve"> - по договорам подряда (в разбивке по каждому подрядчику и по договорам):</t>
  </si>
  <si>
    <t xml:space="preserve"> - незаконтрактованные затраты</t>
  </si>
  <si>
    <t>Содержание заказчика-застройщика в ценах 2021 года с НДС, млн рублей</t>
  </si>
  <si>
    <t>оплачено по договору, млн рублей</t>
  </si>
  <si>
    <t>освоено по договору, млн рублей</t>
  </si>
  <si>
    <t>ПИР ООО "Энергия" договор № 007/05/19 от 31.05.2019 в ценах 2019 года без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</si>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</sst>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4" fontId="7" fillId="0" borderId="0" xfId="67" applyNumberFormat="1" applyFont="1" applyFill="1" applyAlignment="1">
      <alignment vertical="center"/>
    </xf>
    <xf numFmtId="0" fontId="70"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8" xfId="1" applyFont="1" applyFill="1" applyBorder="1" applyAlignment="1">
      <alignment horizontal="center"/>
    </xf>
    <xf numFmtId="0" fontId="7" fillId="0" borderId="48" xfId="1" applyFont="1" applyFill="1" applyBorder="1" applyAlignment="1">
      <alignment horizontal="left" vertical="center" wrapText="1"/>
    </xf>
    <xf numFmtId="0" fontId="7" fillId="0" borderId="48" xfId="1" applyFont="1" applyFill="1" applyBorder="1" applyAlignment="1">
      <alignment vertical="center" wrapText="1"/>
    </xf>
    <xf numFmtId="0" fontId="0" fillId="0" borderId="0" xfId="0" applyAlignment="1">
      <alignment horizontal="left"/>
    </xf>
    <xf numFmtId="0" fontId="39" fillId="0" borderId="48" xfId="1" applyFont="1" applyFill="1" applyBorder="1" applyAlignment="1">
      <alignment horizontal="left" vertical="center" wrapText="1"/>
    </xf>
    <xf numFmtId="0" fontId="39" fillId="0" borderId="48" xfId="1" applyFont="1" applyFill="1" applyBorder="1" applyAlignment="1">
      <alignment horizontal="left" wrapText="1"/>
    </xf>
    <xf numFmtId="0" fontId="7" fillId="0" borderId="0" xfId="1" applyFont="1" applyAlignment="1">
      <alignment horizontal="center"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1" fontId="40" fillId="0" borderId="48" xfId="67" applyNumberFormat="1" applyFont="1" applyFill="1" applyBorder="1" applyAlignment="1">
      <alignment horizontal="center" vertical="center"/>
    </xf>
    <xf numFmtId="172" fontId="41" fillId="0" borderId="48" xfId="67" applyNumberFormat="1" applyFont="1" applyFill="1" applyBorder="1" applyAlignment="1">
      <alignment vertical="center"/>
    </xf>
    <xf numFmtId="173" fontId="41" fillId="0" borderId="48" xfId="67" applyNumberFormat="1" applyFont="1" applyFill="1" applyBorder="1" applyAlignment="1">
      <alignment vertical="center"/>
    </xf>
    <xf numFmtId="0" fontId="44" fillId="0" borderId="48" xfId="62" applyBorder="1" applyAlignment="1">
      <alignment horizontal="center" vertical="center" wrapText="1"/>
    </xf>
    <xf numFmtId="0" fontId="44" fillId="24"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4"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4" borderId="48" xfId="68" applyFont="1" applyFill="1" applyBorder="1" applyAlignment="1">
      <alignment horizontal="center" vertical="center"/>
    </xf>
    <xf numFmtId="0" fontId="44" fillId="25"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61" fillId="0" borderId="48" xfId="62" applyFont="1" applyBorder="1" applyAlignment="1">
      <alignment wrapText="1"/>
    </xf>
    <xf numFmtId="4" fontId="61" fillId="25" borderId="48" xfId="62" applyNumberFormat="1" applyFont="1" applyFill="1" applyBorder="1" applyAlignment="1">
      <alignment horizontal="center"/>
    </xf>
    <xf numFmtId="3" fontId="61" fillId="25" borderId="48" xfId="62" applyNumberFormat="1" applyFont="1" applyFill="1" applyBorder="1" applyAlignment="1">
      <alignment horizontal="center"/>
    </xf>
    <xf numFmtId="0" fontId="61" fillId="0" borderId="50" xfId="62" applyFont="1" applyBorder="1" applyAlignment="1">
      <alignment wrapText="1"/>
    </xf>
    <xf numFmtId="3" fontId="61" fillId="0" borderId="50" xfId="62" applyNumberFormat="1" applyFont="1" applyFill="1" applyBorder="1"/>
    <xf numFmtId="4" fontId="61" fillId="0" borderId="48" xfId="62" applyNumberFormat="1" applyFont="1" applyFill="1" applyBorder="1" applyAlignment="1">
      <alignment horizontal="center"/>
    </xf>
    <xf numFmtId="4" fontId="61" fillId="24" borderId="48" xfId="62" applyNumberFormat="1" applyFont="1" applyFill="1" applyBorder="1" applyAlignment="1">
      <alignment horizontal="center"/>
    </xf>
    <xf numFmtId="10" fontId="61" fillId="24" borderId="48" xfId="62" applyNumberFormat="1" applyFont="1" applyFill="1" applyBorder="1" applyAlignment="1">
      <alignment horizontal="center"/>
    </xf>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1" fillId="0" borderId="48" xfId="62" applyFont="1" applyBorder="1"/>
    <xf numFmtId="0" fontId="61" fillId="0" borderId="50" xfId="62" applyFont="1" applyFill="1" applyBorder="1"/>
    <xf numFmtId="10" fontId="61" fillId="0" borderId="50"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8" xfId="0" applyFont="1" applyBorder="1" applyAlignment="1">
      <alignment horizontal="center" vertical="center" wrapText="1"/>
    </xf>
    <xf numFmtId="169" fontId="11" fillId="0" borderId="48" xfId="0" applyNumberFormat="1" applyFont="1" applyBorder="1" applyAlignment="1">
      <alignment horizontal="center" vertical="center"/>
    </xf>
    <xf numFmtId="0" fontId="11" fillId="0" borderId="48" xfId="0" applyFont="1" applyBorder="1" applyAlignment="1">
      <alignment horizontal="center" vertical="center"/>
    </xf>
    <xf numFmtId="1" fontId="11" fillId="0" borderId="48" xfId="0" applyNumberFormat="1" applyFont="1" applyBorder="1" applyAlignment="1">
      <alignment horizontal="center" vertical="center"/>
    </xf>
    <xf numFmtId="169" fontId="7" fillId="0" borderId="48" xfId="1" applyNumberFormat="1" applyFont="1" applyBorder="1" applyAlignment="1">
      <alignment horizontal="center" vertical="center"/>
    </xf>
    <xf numFmtId="0" fontId="40" fillId="26" borderId="31" xfId="2" applyFont="1" applyFill="1" applyBorder="1" applyAlignment="1">
      <alignment horizontal="justify" vertical="top"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8" xfId="2" applyNumberFormat="1" applyFont="1" applyFill="1" applyBorder="1" applyAlignment="1">
      <alignment horizontal="center" vertical="center" wrapText="1"/>
    </xf>
    <xf numFmtId="0" fontId="11" fillId="0" borderId="48" xfId="2" applyFont="1" applyFill="1" applyBorder="1" applyAlignment="1">
      <alignment vertical="center"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8" xfId="0" applyNumberFormat="1" applyFont="1" applyFill="1" applyBorder="1"/>
    <xf numFmtId="0" fontId="7" fillId="0" borderId="48"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48"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63" fillId="27" borderId="0" xfId="67" applyFont="1" applyFill="1" applyAlignment="1">
      <alignment vertical="center"/>
    </xf>
    <xf numFmtId="0" fontId="7" fillId="27" borderId="0" xfId="67" applyFont="1" applyFill="1" applyAlignment="1">
      <alignment vertical="center"/>
    </xf>
    <xf numFmtId="0" fontId="61" fillId="28" borderId="48" xfId="62" applyFont="1" applyFill="1" applyBorder="1"/>
    <xf numFmtId="10" fontId="61" fillId="28" borderId="48" xfId="62" applyNumberFormat="1" applyFont="1" applyFill="1" applyBorder="1"/>
    <xf numFmtId="10" fontId="36" fillId="28" borderId="48" xfId="67" applyNumberFormat="1" applyFont="1" applyFill="1" applyBorder="1" applyAlignment="1">
      <alignment vertical="center"/>
    </xf>
    <xf numFmtId="3" fontId="7" fillId="28" borderId="48" xfId="67" applyNumberFormat="1" applyFont="1" applyFill="1" applyBorder="1" applyAlignment="1">
      <alignment horizontal="right" vertical="center"/>
    </xf>
    <xf numFmtId="168" fontId="36" fillId="28" borderId="48" xfId="67" applyNumberFormat="1" applyFont="1" applyFill="1" applyBorder="1" applyAlignment="1">
      <alignment horizontal="righ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48" xfId="0" applyFont="1" applyBorder="1" applyAlignment="1">
      <alignment horizontal="left" vertical="center" wrapText="1"/>
    </xf>
    <xf numFmtId="0" fontId="7" fillId="0" borderId="48" xfId="1" applyFont="1" applyBorder="1" applyAlignment="1">
      <alignment horizontal="left" vertical="center"/>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6"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48" xfId="62" applyFont="1" applyBorder="1" applyAlignment="1">
      <alignment horizontal="left" vertical="center"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0" fillId="0" borderId="0" xfId="0" applyFont="1"/>
    <xf numFmtId="0" fontId="11" fillId="0" borderId="48" xfId="62" applyFont="1" applyBorder="1" applyAlignment="1">
      <alignment horizontal="center" vertical="center" wrapText="1"/>
    </xf>
    <xf numFmtId="2" fontId="44" fillId="25" borderId="48" xfId="62" applyNumberFormat="1" applyFill="1" applyBorder="1" applyAlignment="1">
      <alignment horizontal="center" vertical="center" wrapText="1"/>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17" fontId="37" fillId="0" borderId="1" xfId="49" applyNumberFormat="1" applyFont="1" applyBorder="1" applyAlignment="1">
      <alignment horizontal="center" vertical="center" wrapText="1"/>
    </xf>
    <xf numFmtId="1"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7" fontId="37" fillId="0" borderId="48" xfId="49" applyNumberFormat="1" applyFont="1" applyBorder="1" applyAlignment="1">
      <alignment horizontal="center" vertical="center" wrapText="1"/>
    </xf>
    <xf numFmtId="2" fontId="37" fillId="0" borderId="48" xfId="49" applyNumberFormat="1" applyFont="1" applyBorder="1" applyAlignment="1">
      <alignment horizontal="center" vertical="center" wrapText="1"/>
    </xf>
    <xf numFmtId="168"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wrapText="1"/>
    </xf>
    <xf numFmtId="168" fontId="36" fillId="0" borderId="0" xfId="49" applyNumberFormat="1" applyFont="1"/>
    <xf numFmtId="176" fontId="11" fillId="0" borderId="0" xfId="2"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71" fillId="0" borderId="0" xfId="2" applyFont="1" applyFill="1" applyAlignment="1">
      <alignment horizontal="center" vertical="center"/>
    </xf>
    <xf numFmtId="0" fontId="64" fillId="0" borderId="0" xfId="2" applyFont="1" applyFill="1" applyAlignment="1">
      <alignment vertical="center"/>
    </xf>
    <xf numFmtId="0" fontId="40" fillId="29" borderId="31" xfId="2"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4" fontId="11" fillId="0" borderId="0" xfId="2" applyNumberFormat="1" applyFill="1"/>
    <xf numFmtId="2" fontId="44" fillId="0" borderId="48" xfId="62"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52" xfId="62" applyFont="1" applyBorder="1" applyAlignment="1">
      <alignment horizontal="center" vertical="center" wrapText="1"/>
    </xf>
    <xf numFmtId="0" fontId="11" fillId="0" borderId="2" xfId="62" applyFont="1" applyBorder="1" applyAlignment="1">
      <alignment horizontal="center" vertical="center" wrapText="1"/>
    </xf>
    <xf numFmtId="2" fontId="11" fillId="0" borderId="52" xfId="62" applyNumberFormat="1" applyFont="1" applyBorder="1" applyAlignment="1">
      <alignment horizontal="center" vertical="center" wrapText="1"/>
    </xf>
    <xf numFmtId="2" fontId="11" fillId="0" borderId="2" xfId="62" applyNumberFormat="1" applyFont="1" applyBorder="1" applyAlignment="1">
      <alignment horizontal="center" vertical="center" wrapText="1"/>
    </xf>
    <xf numFmtId="0" fontId="11" fillId="0" borderId="52"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7" borderId="0" xfId="62" applyFont="1" applyFill="1" applyAlignment="1">
      <alignment horizontal="center" vertical="center" wrapText="1"/>
    </xf>
    <xf numFmtId="0" fontId="63" fillId="27" borderId="0" xfId="0" applyFont="1" applyFill="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0" fontId="63" fillId="0" borderId="51" xfId="67" applyFont="1" applyFill="1" applyBorder="1" applyAlignment="1">
      <alignment horizontal="center" vertical="center" wrapText="1"/>
    </xf>
    <xf numFmtId="3" fontId="63" fillId="0" borderId="49" xfId="67" applyNumberFormat="1" applyFont="1" applyFill="1" applyBorder="1" applyAlignment="1">
      <alignment horizontal="center" vertical="center"/>
    </xf>
    <xf numFmtId="3" fontId="63" fillId="0" borderId="51" xfId="67" applyNumberFormat="1"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63"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4" fontId="63" fillId="0" borderId="49" xfId="67" applyNumberFormat="1" applyFont="1" applyFill="1" applyBorder="1" applyAlignment="1">
      <alignment horizontal="center" vertical="center"/>
    </xf>
    <xf numFmtId="4" fontId="63"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8"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-3775401.0239999997</c:v>
                </c:pt>
                <c:pt idx="1">
                  <c:v>0</c:v>
                </c:pt>
                <c:pt idx="2">
                  <c:v>3415688.2138089766</c:v>
                </c:pt>
                <c:pt idx="3">
                  <c:v>5362185.2286424534</c:v>
                </c:pt>
                <c:pt idx="4">
                  <c:v>7512239.4586012242</c:v>
                </c:pt>
                <c:pt idx="5">
                  <c:v>6974703.6541379057</c:v>
                </c:pt>
                <c:pt idx="6">
                  <c:v>6461809.7898771558</c:v>
                </c:pt>
                <c:pt idx="7">
                  <c:v>5986656.8385780882</c:v>
                </c:pt>
                <c:pt idx="8">
                  <c:v>5546464.8366214912</c:v>
                </c:pt>
                <c:pt idx="9">
                  <c:v>5138658.9147515688</c:v>
                </c:pt>
                <c:pt idx="10">
                  <c:v>4760854.129813062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-3775401.0239999997</c:v>
                </c:pt>
                <c:pt idx="1">
                  <c:v>-3775401.0239999997</c:v>
                </c:pt>
                <c:pt idx="2">
                  <c:v>-359712.81019102316</c:v>
                </c:pt>
                <c:pt idx="3">
                  <c:v>5002472.4184514303</c:v>
                </c:pt>
                <c:pt idx="4">
                  <c:v>12514711.877052654</c:v>
                </c:pt>
                <c:pt idx="5">
                  <c:v>19489415.531190559</c:v>
                </c:pt>
                <c:pt idx="6">
                  <c:v>25951225.321067713</c:v>
                </c:pt>
                <c:pt idx="7">
                  <c:v>31937882.159645803</c:v>
                </c:pt>
                <c:pt idx="8">
                  <c:v>37484346.996267296</c:v>
                </c:pt>
                <c:pt idx="9">
                  <c:v>42623005.911018863</c:v>
                </c:pt>
                <c:pt idx="10">
                  <c:v>47383860.040831923</c:v>
                </c:pt>
              </c:numCache>
            </c:numRef>
          </c:val>
          <c:smooth val="0"/>
        </c:ser>
        <c:dLbls>
          <c:showLegendKey val="0"/>
          <c:showVal val="0"/>
          <c:showCatName val="0"/>
          <c:showSerName val="0"/>
          <c:showPercent val="0"/>
          <c:showBubbleSize val="0"/>
        </c:dLbls>
        <c:smooth val="0"/>
        <c:axId val="1168735064"/>
        <c:axId val="1169430896"/>
      </c:lineChart>
      <c:catAx>
        <c:axId val="11687350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9430896"/>
        <c:crosses val="autoZero"/>
        <c:auto val="1"/>
        <c:lblAlgn val="ctr"/>
        <c:lblOffset val="100"/>
        <c:noMultiLvlLbl val="0"/>
      </c:catAx>
      <c:valAx>
        <c:axId val="11694308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873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1169431288"/>
        <c:axId val="1169430504"/>
      </c:lineChart>
      <c:catAx>
        <c:axId val="116943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9430504"/>
        <c:crosses val="autoZero"/>
        <c:auto val="1"/>
        <c:lblAlgn val="ctr"/>
        <c:lblOffset val="100"/>
        <c:noMultiLvlLbl val="0"/>
      </c:catAx>
      <c:valAx>
        <c:axId val="1169430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9431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301316008"/>
        <c:axId val="1301316400"/>
      </c:lineChart>
      <c:catAx>
        <c:axId val="1301316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01316400"/>
        <c:crosses val="autoZero"/>
        <c:auto val="1"/>
        <c:lblAlgn val="ctr"/>
        <c:lblOffset val="100"/>
        <c:noMultiLvlLbl val="0"/>
      </c:catAx>
      <c:valAx>
        <c:axId val="1301316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01316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msp.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90" zoomScaleSheetLayoutView="90" workbookViewId="0">
      <selection activeCell="C23" sqref="C23"/>
    </sheetView>
  </sheetViews>
  <sheetFormatPr defaultColWidth="9.140625" defaultRowHeight="15" x14ac:dyDescent="0.25"/>
  <cols>
    <col min="1" max="1" width="6.140625" style="318" customWidth="1"/>
    <col min="2" max="2" width="53.5703125" style="318" customWidth="1"/>
    <col min="3" max="3" width="96.42578125" style="318" customWidth="1"/>
    <col min="4" max="4" width="12" style="318" hidden="1" customWidth="1"/>
    <col min="5" max="5" width="14.42578125" style="318" customWidth="1"/>
    <col min="6" max="6" width="36.5703125" style="318" customWidth="1"/>
    <col min="7" max="7" width="20" style="318" customWidth="1"/>
    <col min="8" max="8" width="25.5703125" style="318" customWidth="1"/>
    <col min="9" max="9" width="16.42578125" style="318" customWidth="1"/>
    <col min="10" max="16384" width="9.140625" style="318"/>
  </cols>
  <sheetData>
    <row r="1" spans="1:22" s="15" customFormat="1" ht="18.75" customHeight="1" x14ac:dyDescent="0.2">
      <c r="A1" s="299"/>
      <c r="C1" s="300" t="s">
        <v>66</v>
      </c>
    </row>
    <row r="2" spans="1:22" s="15" customFormat="1" ht="18.75" customHeight="1" x14ac:dyDescent="0.3">
      <c r="A2" s="299"/>
      <c r="C2" s="301" t="s">
        <v>8</v>
      </c>
    </row>
    <row r="3" spans="1:22" s="15" customFormat="1" ht="18.75" x14ac:dyDescent="0.3">
      <c r="A3" s="302"/>
      <c r="C3" s="301" t="s">
        <v>65</v>
      </c>
    </row>
    <row r="4" spans="1:22" s="15" customFormat="1" ht="18.75" x14ac:dyDescent="0.3">
      <c r="A4" s="302"/>
      <c r="H4" s="301"/>
    </row>
    <row r="5" spans="1:22" s="15" customFormat="1" ht="15.75" x14ac:dyDescent="0.25">
      <c r="A5" s="392" t="s">
        <v>719</v>
      </c>
      <c r="B5" s="392"/>
      <c r="C5" s="392"/>
      <c r="D5" s="156"/>
      <c r="E5" s="156"/>
      <c r="F5" s="156"/>
      <c r="G5" s="156"/>
      <c r="H5" s="156"/>
      <c r="I5" s="156"/>
      <c r="J5" s="156"/>
    </row>
    <row r="6" spans="1:22" s="15" customFormat="1" ht="18.75" x14ac:dyDescent="0.3">
      <c r="A6" s="302"/>
      <c r="H6" s="301"/>
    </row>
    <row r="7" spans="1:22" s="15" customFormat="1" ht="18.75" x14ac:dyDescent="0.2">
      <c r="A7" s="396" t="s">
        <v>7</v>
      </c>
      <c r="B7" s="396"/>
      <c r="C7" s="396"/>
      <c r="D7" s="303"/>
      <c r="E7" s="303"/>
      <c r="F7" s="303"/>
      <c r="G7" s="303"/>
      <c r="H7" s="303"/>
      <c r="I7" s="303"/>
      <c r="J7" s="303"/>
      <c r="K7" s="303"/>
      <c r="L7" s="303"/>
      <c r="M7" s="303"/>
      <c r="N7" s="303"/>
      <c r="O7" s="303"/>
      <c r="P7" s="303"/>
      <c r="Q7" s="303"/>
      <c r="R7" s="303"/>
      <c r="S7" s="303"/>
      <c r="T7" s="303"/>
      <c r="U7" s="303"/>
      <c r="V7" s="303"/>
    </row>
    <row r="8" spans="1:22" s="15" customFormat="1" ht="18.75" x14ac:dyDescent="0.2">
      <c r="A8" s="304"/>
      <c r="B8" s="304"/>
      <c r="C8" s="304"/>
      <c r="D8" s="304"/>
      <c r="E8" s="304"/>
      <c r="F8" s="304"/>
      <c r="G8" s="304"/>
      <c r="H8" s="304"/>
      <c r="I8" s="303"/>
      <c r="J8" s="303"/>
      <c r="K8" s="303"/>
      <c r="L8" s="303"/>
      <c r="M8" s="303"/>
      <c r="N8" s="303"/>
      <c r="O8" s="303"/>
      <c r="P8" s="303"/>
      <c r="Q8" s="303"/>
      <c r="R8" s="303"/>
      <c r="S8" s="303"/>
      <c r="T8" s="303"/>
      <c r="U8" s="303"/>
      <c r="V8" s="303"/>
    </row>
    <row r="9" spans="1:22" s="15" customFormat="1" ht="18.75" x14ac:dyDescent="0.2">
      <c r="A9" s="397" t="s">
        <v>563</v>
      </c>
      <c r="B9" s="397"/>
      <c r="C9" s="397"/>
      <c r="D9" s="305"/>
      <c r="E9" s="305"/>
      <c r="F9" s="305"/>
      <c r="G9" s="305"/>
      <c r="H9" s="305"/>
      <c r="I9" s="303"/>
      <c r="J9" s="303"/>
      <c r="K9" s="303"/>
      <c r="L9" s="303"/>
      <c r="M9" s="303"/>
      <c r="N9" s="303"/>
      <c r="O9" s="303"/>
      <c r="P9" s="303"/>
      <c r="Q9" s="303"/>
      <c r="R9" s="303"/>
      <c r="S9" s="303"/>
      <c r="T9" s="303"/>
      <c r="U9" s="303"/>
      <c r="V9" s="303"/>
    </row>
    <row r="10" spans="1:22" s="15" customFormat="1" ht="18.75" x14ac:dyDescent="0.2">
      <c r="A10" s="393" t="s">
        <v>6</v>
      </c>
      <c r="B10" s="393"/>
      <c r="C10" s="393"/>
      <c r="D10" s="306"/>
      <c r="E10" s="306"/>
      <c r="F10" s="306"/>
      <c r="G10" s="306"/>
      <c r="H10" s="306"/>
      <c r="I10" s="303"/>
      <c r="J10" s="303"/>
      <c r="K10" s="303"/>
      <c r="L10" s="303"/>
      <c r="M10" s="303"/>
      <c r="N10" s="303"/>
      <c r="O10" s="303"/>
      <c r="P10" s="303"/>
      <c r="Q10" s="303"/>
      <c r="R10" s="303"/>
      <c r="S10" s="303"/>
      <c r="T10" s="303"/>
      <c r="U10" s="303"/>
      <c r="V10" s="303"/>
    </row>
    <row r="11" spans="1:22" s="15" customFormat="1" ht="18.75" x14ac:dyDescent="0.2">
      <c r="A11" s="304"/>
      <c r="B11" s="304"/>
      <c r="C11" s="304"/>
      <c r="D11" s="304"/>
      <c r="E11" s="304"/>
      <c r="F11" s="304"/>
      <c r="G11" s="304"/>
      <c r="H11" s="304"/>
      <c r="I11" s="303"/>
      <c r="J11" s="303"/>
      <c r="K11" s="303"/>
      <c r="L11" s="303"/>
      <c r="M11" s="303"/>
      <c r="N11" s="303"/>
      <c r="O11" s="303"/>
      <c r="P11" s="303"/>
      <c r="Q11" s="303"/>
      <c r="R11" s="303"/>
      <c r="S11" s="303"/>
      <c r="T11" s="303"/>
      <c r="U11" s="303"/>
      <c r="V11" s="303"/>
    </row>
    <row r="12" spans="1:22" s="15" customFormat="1" ht="18.75" x14ac:dyDescent="0.2">
      <c r="A12" s="395" t="s">
        <v>668</v>
      </c>
      <c r="B12" s="395"/>
      <c r="C12" s="395"/>
      <c r="D12" s="305"/>
      <c r="E12" s="305"/>
      <c r="F12" s="305"/>
      <c r="G12" s="305"/>
      <c r="H12" s="305"/>
      <c r="I12" s="303"/>
      <c r="J12" s="303"/>
      <c r="K12" s="303"/>
      <c r="L12" s="303"/>
      <c r="M12" s="303"/>
      <c r="N12" s="303"/>
      <c r="O12" s="303"/>
      <c r="P12" s="303"/>
      <c r="Q12" s="303"/>
      <c r="R12" s="303"/>
      <c r="S12" s="303"/>
      <c r="T12" s="303"/>
      <c r="U12" s="303"/>
      <c r="V12" s="303"/>
    </row>
    <row r="13" spans="1:22" s="15" customFormat="1" ht="18.75" x14ac:dyDescent="0.2">
      <c r="A13" s="393" t="s">
        <v>5</v>
      </c>
      <c r="B13" s="393"/>
      <c r="C13" s="393"/>
      <c r="D13" s="306"/>
      <c r="E13" s="306"/>
      <c r="F13" s="306"/>
      <c r="G13" s="306"/>
      <c r="H13" s="306"/>
      <c r="I13" s="303"/>
      <c r="J13" s="303"/>
      <c r="K13" s="303"/>
      <c r="L13" s="303"/>
      <c r="M13" s="303"/>
      <c r="N13" s="303"/>
      <c r="O13" s="303"/>
      <c r="P13" s="303"/>
      <c r="Q13" s="303"/>
      <c r="R13" s="303"/>
      <c r="S13" s="303"/>
      <c r="T13" s="303"/>
      <c r="U13" s="303"/>
      <c r="V13" s="303"/>
    </row>
    <row r="14" spans="1:22" s="307"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c r="U14" s="297"/>
      <c r="V14" s="297"/>
    </row>
    <row r="15" spans="1:22" s="308" customFormat="1" ht="70.5" customHeight="1" x14ac:dyDescent="0.2">
      <c r="A15" s="398" t="s">
        <v>669</v>
      </c>
      <c r="B15" s="399"/>
      <c r="C15" s="399"/>
      <c r="D15" s="305"/>
      <c r="E15" s="305"/>
      <c r="F15" s="305"/>
      <c r="G15" s="305"/>
      <c r="H15" s="305"/>
      <c r="I15" s="305"/>
      <c r="J15" s="305"/>
      <c r="K15" s="305"/>
      <c r="L15" s="305"/>
      <c r="M15" s="305"/>
      <c r="N15" s="305"/>
      <c r="O15" s="305"/>
      <c r="P15" s="305"/>
      <c r="Q15" s="305"/>
      <c r="R15" s="305"/>
      <c r="S15" s="305"/>
      <c r="T15" s="305"/>
      <c r="U15" s="305"/>
      <c r="V15" s="305"/>
    </row>
    <row r="16" spans="1:22" s="308" customFormat="1" ht="15" customHeight="1" x14ac:dyDescent="0.2">
      <c r="A16" s="393" t="s">
        <v>4</v>
      </c>
      <c r="B16" s="393"/>
      <c r="C16" s="393"/>
      <c r="D16" s="306"/>
      <c r="E16" s="306"/>
      <c r="F16" s="306"/>
      <c r="G16" s="306"/>
      <c r="H16" s="306"/>
      <c r="I16" s="306"/>
      <c r="J16" s="306"/>
      <c r="K16" s="306"/>
      <c r="L16" s="306"/>
      <c r="M16" s="306"/>
      <c r="N16" s="306"/>
      <c r="O16" s="306"/>
      <c r="P16" s="306"/>
      <c r="Q16" s="306"/>
      <c r="R16" s="306"/>
      <c r="S16" s="306"/>
      <c r="T16" s="306"/>
      <c r="U16" s="306"/>
      <c r="V16" s="306"/>
    </row>
    <row r="17" spans="1:22" s="30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row>
    <row r="18" spans="1:22" s="308" customFormat="1" ht="15" customHeight="1" x14ac:dyDescent="0.2">
      <c r="A18" s="394" t="s">
        <v>509</v>
      </c>
      <c r="B18" s="395"/>
      <c r="C18" s="395"/>
      <c r="D18" s="310"/>
      <c r="E18" s="310"/>
      <c r="F18" s="310"/>
      <c r="G18" s="310"/>
      <c r="H18" s="310"/>
      <c r="I18" s="310"/>
      <c r="J18" s="310"/>
      <c r="K18" s="310"/>
      <c r="L18" s="310"/>
      <c r="M18" s="310"/>
      <c r="N18" s="310"/>
      <c r="O18" s="310"/>
      <c r="P18" s="310"/>
      <c r="Q18" s="310"/>
      <c r="R18" s="310"/>
      <c r="S18" s="310"/>
      <c r="T18" s="310"/>
      <c r="U18" s="310"/>
      <c r="V18" s="310"/>
    </row>
    <row r="19" spans="1:22" s="308" customFormat="1" ht="15" customHeight="1" x14ac:dyDescent="0.2">
      <c r="A19" s="306"/>
      <c r="B19" s="306"/>
      <c r="C19" s="306"/>
      <c r="D19" s="306"/>
      <c r="E19" s="306"/>
      <c r="F19" s="306"/>
      <c r="G19" s="306"/>
      <c r="H19" s="306"/>
      <c r="I19" s="309"/>
      <c r="J19" s="309"/>
      <c r="K19" s="309"/>
      <c r="L19" s="309"/>
      <c r="M19" s="309"/>
      <c r="N19" s="309"/>
      <c r="O19" s="309"/>
      <c r="P19" s="309"/>
      <c r="Q19" s="309"/>
      <c r="R19" s="309"/>
      <c r="S19" s="309"/>
    </row>
    <row r="20" spans="1:22" s="308" customFormat="1" ht="39.75" customHeight="1" x14ac:dyDescent="0.2">
      <c r="A20" s="30" t="s">
        <v>3</v>
      </c>
      <c r="B20" s="311" t="s">
        <v>64</v>
      </c>
      <c r="C20" s="312" t="s">
        <v>63</v>
      </c>
      <c r="D20" s="313"/>
      <c r="E20" s="313"/>
      <c r="F20" s="313"/>
      <c r="G20" s="313"/>
      <c r="H20" s="313"/>
      <c r="I20" s="297"/>
      <c r="J20" s="297"/>
      <c r="K20" s="297"/>
      <c r="L20" s="297"/>
      <c r="M20" s="297"/>
      <c r="N20" s="297"/>
      <c r="O20" s="297"/>
      <c r="P20" s="297"/>
      <c r="Q20" s="297"/>
      <c r="R20" s="297"/>
      <c r="S20" s="297"/>
      <c r="T20" s="314"/>
      <c r="U20" s="314"/>
      <c r="V20" s="314"/>
    </row>
    <row r="21" spans="1:22" s="308" customFormat="1" ht="16.5" customHeight="1" x14ac:dyDescent="0.2">
      <c r="A21" s="312">
        <v>1</v>
      </c>
      <c r="B21" s="311">
        <v>2</v>
      </c>
      <c r="C21" s="312">
        <v>3</v>
      </c>
      <c r="D21" s="313"/>
      <c r="E21" s="313"/>
      <c r="F21" s="313"/>
      <c r="G21" s="313"/>
      <c r="H21" s="313"/>
      <c r="I21" s="297"/>
      <c r="J21" s="297"/>
      <c r="K21" s="297"/>
      <c r="L21" s="297"/>
      <c r="M21" s="297"/>
      <c r="N21" s="297"/>
      <c r="O21" s="297"/>
      <c r="P21" s="297"/>
      <c r="Q21" s="297"/>
      <c r="R21" s="297"/>
      <c r="S21" s="297"/>
      <c r="T21" s="314"/>
      <c r="U21" s="314"/>
      <c r="V21" s="314"/>
    </row>
    <row r="22" spans="1:22" s="308" customFormat="1" ht="39" customHeight="1" x14ac:dyDescent="0.2">
      <c r="A22" s="23" t="s">
        <v>62</v>
      </c>
      <c r="B22" s="315" t="s">
        <v>346</v>
      </c>
      <c r="C22" s="153" t="s">
        <v>578</v>
      </c>
      <c r="D22" s="313" t="s">
        <v>574</v>
      </c>
      <c r="E22" s="313"/>
      <c r="F22" s="313"/>
      <c r="G22" s="313"/>
      <c r="H22" s="313"/>
      <c r="I22" s="297"/>
      <c r="J22" s="297"/>
      <c r="K22" s="297"/>
      <c r="L22" s="297"/>
      <c r="M22" s="297"/>
      <c r="N22" s="297"/>
      <c r="O22" s="297"/>
      <c r="P22" s="297"/>
      <c r="Q22" s="297"/>
      <c r="R22" s="297"/>
      <c r="S22" s="297"/>
      <c r="T22" s="314"/>
      <c r="U22" s="314"/>
      <c r="V22" s="314"/>
    </row>
    <row r="23" spans="1:22" s="308" customFormat="1" ht="63" x14ac:dyDescent="0.2">
      <c r="A23" s="23" t="s">
        <v>61</v>
      </c>
      <c r="B23" s="31" t="s">
        <v>615</v>
      </c>
      <c r="C23" s="233" t="s">
        <v>643</v>
      </c>
      <c r="D23" s="313" t="s">
        <v>564</v>
      </c>
      <c r="E23" s="313"/>
      <c r="F23" s="313"/>
      <c r="G23" s="313"/>
      <c r="H23" s="313"/>
      <c r="I23" s="297"/>
      <c r="J23" s="297"/>
      <c r="K23" s="297"/>
      <c r="L23" s="297"/>
      <c r="M23" s="297"/>
      <c r="N23" s="297"/>
      <c r="O23" s="297"/>
      <c r="P23" s="297"/>
      <c r="Q23" s="297"/>
      <c r="R23" s="297"/>
      <c r="S23" s="297"/>
      <c r="T23" s="314"/>
      <c r="U23" s="314"/>
      <c r="V23" s="314"/>
    </row>
    <row r="24" spans="1:22" s="308" customFormat="1" ht="22.5" customHeight="1" x14ac:dyDescent="0.2">
      <c r="A24" s="389"/>
      <c r="B24" s="390"/>
      <c r="C24" s="391"/>
      <c r="D24" s="313"/>
      <c r="E24" s="313"/>
      <c r="F24" s="313"/>
      <c r="G24" s="313"/>
      <c r="H24" s="313"/>
      <c r="I24" s="297"/>
      <c r="J24" s="297"/>
      <c r="K24" s="297"/>
      <c r="L24" s="297"/>
      <c r="M24" s="297"/>
      <c r="N24" s="297"/>
      <c r="O24" s="297"/>
      <c r="P24" s="297"/>
      <c r="Q24" s="297"/>
      <c r="R24" s="297"/>
      <c r="S24" s="297"/>
      <c r="T24" s="314"/>
      <c r="U24" s="314"/>
      <c r="V24" s="314"/>
    </row>
    <row r="25" spans="1:22" s="308" customFormat="1" ht="58.5" customHeight="1" x14ac:dyDescent="0.2">
      <c r="A25" s="23" t="s">
        <v>60</v>
      </c>
      <c r="B25" s="153" t="s">
        <v>458</v>
      </c>
      <c r="C25" s="30" t="s">
        <v>632</v>
      </c>
      <c r="D25" s="313"/>
      <c r="E25" s="313"/>
      <c r="F25" s="313"/>
      <c r="G25" s="313"/>
      <c r="H25" s="297"/>
      <c r="I25" s="297"/>
      <c r="J25" s="297"/>
      <c r="K25" s="297"/>
      <c r="L25" s="297"/>
      <c r="M25" s="297"/>
      <c r="N25" s="297"/>
      <c r="O25" s="297"/>
      <c r="P25" s="297"/>
      <c r="Q25" s="297"/>
      <c r="R25" s="297"/>
      <c r="S25" s="314"/>
      <c r="T25" s="314"/>
      <c r="U25" s="314"/>
      <c r="V25" s="314"/>
    </row>
    <row r="26" spans="1:22" s="308" customFormat="1" ht="42.75" customHeight="1" x14ac:dyDescent="0.2">
      <c r="A26" s="23" t="s">
        <v>59</v>
      </c>
      <c r="B26" s="153" t="s">
        <v>72</v>
      </c>
      <c r="C26" s="30" t="s">
        <v>527</v>
      </c>
      <c r="D26" s="313"/>
      <c r="E26" s="313"/>
      <c r="F26" s="313"/>
      <c r="G26" s="313"/>
      <c r="H26" s="297"/>
      <c r="I26" s="297"/>
      <c r="J26" s="297"/>
      <c r="K26" s="297"/>
      <c r="L26" s="297"/>
      <c r="M26" s="297"/>
      <c r="N26" s="297"/>
      <c r="O26" s="297"/>
      <c r="P26" s="297"/>
      <c r="Q26" s="297"/>
      <c r="R26" s="297"/>
      <c r="S26" s="314"/>
      <c r="T26" s="314"/>
      <c r="U26" s="314"/>
      <c r="V26" s="314"/>
    </row>
    <row r="27" spans="1:22" s="308" customFormat="1" ht="51.75" customHeight="1" x14ac:dyDescent="0.2">
      <c r="A27" s="23" t="s">
        <v>57</v>
      </c>
      <c r="B27" s="153" t="s">
        <v>71</v>
      </c>
      <c r="C27" s="316" t="s">
        <v>645</v>
      </c>
      <c r="D27" s="313"/>
      <c r="E27" s="313"/>
      <c r="F27" s="313"/>
      <c r="G27" s="313"/>
      <c r="H27" s="297"/>
      <c r="I27" s="297"/>
      <c r="J27" s="297"/>
      <c r="K27" s="297"/>
      <c r="L27" s="297"/>
      <c r="M27" s="297"/>
      <c r="N27" s="297"/>
      <c r="O27" s="297"/>
      <c r="P27" s="297"/>
      <c r="Q27" s="297"/>
      <c r="R27" s="297"/>
      <c r="S27" s="314"/>
      <c r="T27" s="314"/>
      <c r="U27" s="314"/>
      <c r="V27" s="314"/>
    </row>
    <row r="28" spans="1:22" s="308" customFormat="1" ht="42.75" customHeight="1" x14ac:dyDescent="0.2">
      <c r="A28" s="23" t="s">
        <v>56</v>
      </c>
      <c r="B28" s="153" t="s">
        <v>459</v>
      </c>
      <c r="C28" s="30" t="s">
        <v>529</v>
      </c>
      <c r="D28" s="313"/>
      <c r="E28" s="313"/>
      <c r="F28" s="313"/>
      <c r="G28" s="313"/>
      <c r="H28" s="297"/>
      <c r="I28" s="297"/>
      <c r="J28" s="297"/>
      <c r="K28" s="297"/>
      <c r="L28" s="297"/>
      <c r="M28" s="297"/>
      <c r="N28" s="297"/>
      <c r="O28" s="297"/>
      <c r="P28" s="297"/>
      <c r="Q28" s="297"/>
      <c r="R28" s="297"/>
      <c r="S28" s="314"/>
      <c r="T28" s="314"/>
      <c r="U28" s="314"/>
      <c r="V28" s="314"/>
    </row>
    <row r="29" spans="1:22" s="308" customFormat="1" ht="51.75" customHeight="1" x14ac:dyDescent="0.2">
      <c r="A29" s="23" t="s">
        <v>54</v>
      </c>
      <c r="B29" s="153" t="s">
        <v>460</v>
      </c>
      <c r="C29" s="30" t="s">
        <v>529</v>
      </c>
      <c r="D29" s="313"/>
      <c r="E29" s="313"/>
      <c r="F29" s="313"/>
      <c r="G29" s="313"/>
      <c r="H29" s="297"/>
      <c r="I29" s="297"/>
      <c r="J29" s="297"/>
      <c r="K29" s="297"/>
      <c r="L29" s="297"/>
      <c r="M29" s="297"/>
      <c r="N29" s="297"/>
      <c r="O29" s="297"/>
      <c r="P29" s="297"/>
      <c r="Q29" s="297"/>
      <c r="R29" s="297"/>
      <c r="S29" s="314"/>
      <c r="T29" s="314"/>
      <c r="U29" s="314"/>
      <c r="V29" s="314"/>
    </row>
    <row r="30" spans="1:22" s="308" customFormat="1" ht="51.75" customHeight="1" x14ac:dyDescent="0.2">
      <c r="A30" s="23" t="s">
        <v>52</v>
      </c>
      <c r="B30" s="153" t="s">
        <v>461</v>
      </c>
      <c r="C30" s="30" t="s">
        <v>529</v>
      </c>
      <c r="D30" s="313"/>
      <c r="E30" s="313"/>
      <c r="F30" s="313"/>
      <c r="G30" s="313"/>
      <c r="H30" s="297"/>
      <c r="I30" s="297"/>
      <c r="J30" s="297"/>
      <c r="K30" s="297"/>
      <c r="L30" s="297"/>
      <c r="M30" s="297"/>
      <c r="N30" s="297"/>
      <c r="O30" s="297"/>
      <c r="P30" s="297"/>
      <c r="Q30" s="297"/>
      <c r="R30" s="297"/>
      <c r="S30" s="314"/>
      <c r="T30" s="314"/>
      <c r="U30" s="314"/>
      <c r="V30" s="314"/>
    </row>
    <row r="31" spans="1:22" s="308" customFormat="1" ht="51.75" customHeight="1" x14ac:dyDescent="0.2">
      <c r="A31" s="23" t="s">
        <v>70</v>
      </c>
      <c r="B31" s="153" t="s">
        <v>462</v>
      </c>
      <c r="C31" s="30" t="s">
        <v>529</v>
      </c>
      <c r="D31" s="313"/>
      <c r="E31" s="313"/>
      <c r="F31" s="313"/>
      <c r="G31" s="313"/>
      <c r="H31" s="297"/>
      <c r="I31" s="297"/>
      <c r="J31" s="297"/>
      <c r="K31" s="297"/>
      <c r="L31" s="297"/>
      <c r="M31" s="297"/>
      <c r="N31" s="297"/>
      <c r="O31" s="297"/>
      <c r="P31" s="297"/>
      <c r="Q31" s="297"/>
      <c r="R31" s="297"/>
      <c r="S31" s="314"/>
      <c r="T31" s="314"/>
      <c r="U31" s="314"/>
      <c r="V31" s="314"/>
    </row>
    <row r="32" spans="1:22" s="308" customFormat="1" ht="51.75" customHeight="1" x14ac:dyDescent="0.2">
      <c r="A32" s="23" t="s">
        <v>68</v>
      </c>
      <c r="B32" s="153" t="s">
        <v>463</v>
      </c>
      <c r="C32" s="30" t="s">
        <v>529</v>
      </c>
      <c r="D32" s="313"/>
      <c r="E32" s="313"/>
      <c r="F32" s="313"/>
      <c r="G32" s="313"/>
      <c r="H32" s="297"/>
      <c r="I32" s="297"/>
      <c r="J32" s="297"/>
      <c r="K32" s="297"/>
      <c r="L32" s="297"/>
      <c r="M32" s="297"/>
      <c r="N32" s="297"/>
      <c r="O32" s="297"/>
      <c r="P32" s="297"/>
      <c r="Q32" s="297"/>
      <c r="R32" s="297"/>
      <c r="S32" s="314"/>
      <c r="T32" s="314"/>
      <c r="U32" s="314"/>
      <c r="V32" s="314"/>
    </row>
    <row r="33" spans="1:22" s="308" customFormat="1" ht="101.25" customHeight="1" x14ac:dyDescent="0.2">
      <c r="A33" s="23" t="s">
        <v>67</v>
      </c>
      <c r="B33" s="153" t="s">
        <v>464</v>
      </c>
      <c r="C33" s="328" t="s">
        <v>644</v>
      </c>
      <c r="D33" s="313"/>
      <c r="E33" s="313"/>
      <c r="F33" s="313"/>
      <c r="G33" s="313"/>
      <c r="H33" s="297"/>
      <c r="I33" s="297"/>
      <c r="J33" s="297"/>
      <c r="K33" s="297"/>
      <c r="L33" s="297"/>
      <c r="M33" s="297"/>
      <c r="N33" s="297"/>
      <c r="O33" s="297"/>
      <c r="P33" s="297"/>
      <c r="Q33" s="297"/>
      <c r="R33" s="297"/>
      <c r="S33" s="314"/>
      <c r="T33" s="314"/>
      <c r="U33" s="314"/>
      <c r="V33" s="314"/>
    </row>
    <row r="34" spans="1:22" ht="111" customHeight="1" x14ac:dyDescent="0.25">
      <c r="A34" s="23" t="s">
        <v>478</v>
      </c>
      <c r="B34" s="153" t="s">
        <v>465</v>
      </c>
      <c r="C34" s="234" t="s">
        <v>529</v>
      </c>
      <c r="D34" s="317"/>
      <c r="E34" s="317"/>
      <c r="F34" s="317"/>
      <c r="G34" s="317"/>
      <c r="H34" s="317"/>
      <c r="I34" s="317"/>
      <c r="J34" s="317"/>
      <c r="K34" s="317"/>
      <c r="L34" s="317"/>
      <c r="M34" s="317"/>
      <c r="N34" s="317"/>
      <c r="O34" s="317"/>
      <c r="P34" s="317"/>
      <c r="Q34" s="317"/>
      <c r="R34" s="317"/>
      <c r="S34" s="317"/>
      <c r="T34" s="317"/>
      <c r="U34" s="317"/>
      <c r="V34" s="317"/>
    </row>
    <row r="35" spans="1:22" ht="58.5" customHeight="1" x14ac:dyDescent="0.25">
      <c r="A35" s="23" t="s">
        <v>468</v>
      </c>
      <c r="B35" s="153" t="s">
        <v>69</v>
      </c>
      <c r="C35" s="30" t="s">
        <v>622</v>
      </c>
      <c r="D35" s="317"/>
      <c r="E35" s="317"/>
      <c r="F35" s="317"/>
      <c r="G35" s="317"/>
      <c r="H35" s="317"/>
      <c r="I35" s="317"/>
      <c r="J35" s="317"/>
      <c r="K35" s="317"/>
      <c r="L35" s="317"/>
      <c r="M35" s="317"/>
      <c r="N35" s="317"/>
      <c r="O35" s="317"/>
      <c r="P35" s="317"/>
      <c r="Q35" s="317"/>
      <c r="R35" s="317"/>
      <c r="S35" s="317"/>
      <c r="T35" s="317"/>
      <c r="U35" s="317"/>
      <c r="V35" s="317"/>
    </row>
    <row r="36" spans="1:22" ht="51.75" customHeight="1" x14ac:dyDescent="0.25">
      <c r="A36" s="23" t="s">
        <v>479</v>
      </c>
      <c r="B36" s="153" t="s">
        <v>466</v>
      </c>
      <c r="C36" s="30" t="s">
        <v>529</v>
      </c>
      <c r="D36" s="317"/>
      <c r="E36" s="317"/>
      <c r="F36" s="317"/>
      <c r="G36" s="317"/>
      <c r="H36" s="317"/>
      <c r="I36" s="317"/>
      <c r="J36" s="317"/>
      <c r="K36" s="317"/>
      <c r="L36" s="317"/>
      <c r="M36" s="317"/>
      <c r="N36" s="317"/>
      <c r="O36" s="317"/>
      <c r="P36" s="317"/>
      <c r="Q36" s="317"/>
      <c r="R36" s="317"/>
      <c r="S36" s="317"/>
      <c r="T36" s="317"/>
      <c r="U36" s="317"/>
      <c r="V36" s="317"/>
    </row>
    <row r="37" spans="1:22" ht="43.5" customHeight="1" x14ac:dyDescent="0.25">
      <c r="A37" s="23" t="s">
        <v>469</v>
      </c>
      <c r="B37" s="153" t="s">
        <v>467</v>
      </c>
      <c r="C37" s="30" t="s">
        <v>530</v>
      </c>
      <c r="D37" s="317"/>
      <c r="E37" s="317"/>
      <c r="F37" s="317"/>
      <c r="G37" s="317"/>
      <c r="H37" s="317"/>
      <c r="I37" s="317"/>
      <c r="J37" s="317"/>
      <c r="K37" s="317"/>
      <c r="L37" s="317"/>
      <c r="M37" s="317"/>
      <c r="N37" s="317"/>
      <c r="O37" s="317"/>
      <c r="P37" s="317"/>
      <c r="Q37" s="317"/>
      <c r="R37" s="317"/>
      <c r="S37" s="317"/>
      <c r="T37" s="317"/>
      <c r="U37" s="317"/>
      <c r="V37" s="317"/>
    </row>
    <row r="38" spans="1:22" ht="43.5" customHeight="1" x14ac:dyDescent="0.25">
      <c r="A38" s="23" t="s">
        <v>480</v>
      </c>
      <c r="B38" s="153" t="s">
        <v>227</v>
      </c>
      <c r="C38" s="30" t="s">
        <v>622</v>
      </c>
      <c r="D38" s="317"/>
      <c r="E38" s="317"/>
      <c r="F38" s="317"/>
      <c r="G38" s="317"/>
      <c r="H38" s="317"/>
      <c r="I38" s="317"/>
      <c r="J38" s="317"/>
      <c r="K38" s="317"/>
      <c r="L38" s="317"/>
      <c r="M38" s="317"/>
      <c r="N38" s="317"/>
      <c r="O38" s="317"/>
      <c r="P38" s="317"/>
      <c r="Q38" s="317"/>
      <c r="R38" s="317"/>
      <c r="S38" s="317"/>
      <c r="T38" s="317"/>
      <c r="U38" s="317"/>
      <c r="V38" s="317"/>
    </row>
    <row r="39" spans="1:22" ht="23.25" customHeight="1" x14ac:dyDescent="0.25">
      <c r="A39" s="389"/>
      <c r="B39" s="390"/>
      <c r="C39" s="391"/>
      <c r="D39" s="317"/>
      <c r="E39" s="317"/>
      <c r="F39" s="317"/>
      <c r="G39" s="317"/>
      <c r="H39" s="317"/>
      <c r="I39" s="317"/>
      <c r="J39" s="317"/>
      <c r="K39" s="317"/>
      <c r="L39" s="317"/>
      <c r="M39" s="317"/>
      <c r="N39" s="317"/>
      <c r="O39" s="317"/>
      <c r="P39" s="317"/>
      <c r="Q39" s="317"/>
      <c r="R39" s="317"/>
      <c r="S39" s="317"/>
      <c r="T39" s="317"/>
      <c r="U39" s="317"/>
      <c r="V39" s="317"/>
    </row>
    <row r="40" spans="1:22" ht="63" x14ac:dyDescent="0.25">
      <c r="A40" s="23" t="s">
        <v>470</v>
      </c>
      <c r="B40" s="153" t="s">
        <v>522</v>
      </c>
      <c r="C40" s="344" t="str">
        <f>CONCATENATE("∆P10тп_тр = ",'3.1. паспорт Техсостояние ПС'!O27," МВА; 
SТПпотр=",'2. паспорт  ТП'!H23," МВт; Nсд_тпр=",'2. паспорт  ТП'!A22," договор; Фтз=",ROUND('5. анализ эконом эфф'!B115,2)," млн.руб.")</f>
        <v>∆P10тп_тр = 1.5 МВА; 
SТПпотр=0.45 МВт; Nсд_тпр=1 договор; Фтз=3.18 млн.руб.</v>
      </c>
      <c r="D40" s="317"/>
      <c r="E40" s="317"/>
      <c r="F40" s="317"/>
      <c r="G40" s="317"/>
      <c r="H40" s="317"/>
      <c r="I40" s="317"/>
      <c r="J40" s="317"/>
      <c r="K40" s="317"/>
      <c r="L40" s="317"/>
      <c r="M40" s="317"/>
      <c r="N40" s="317"/>
      <c r="O40" s="317"/>
      <c r="P40" s="317"/>
      <c r="Q40" s="317"/>
      <c r="R40" s="317"/>
      <c r="S40" s="317"/>
      <c r="T40" s="317"/>
      <c r="U40" s="317"/>
      <c r="V40" s="317"/>
    </row>
    <row r="41" spans="1:22" ht="105.75" customHeight="1" x14ac:dyDescent="0.25">
      <c r="A41" s="23" t="s">
        <v>481</v>
      </c>
      <c r="B41" s="153" t="s">
        <v>504</v>
      </c>
      <c r="C41" s="319" t="s">
        <v>623</v>
      </c>
      <c r="D41" s="317" t="s">
        <v>630</v>
      </c>
      <c r="E41" s="317"/>
      <c r="F41" s="317"/>
      <c r="G41" s="317"/>
      <c r="H41" s="317"/>
      <c r="I41" s="317"/>
      <c r="J41" s="317"/>
      <c r="K41" s="317"/>
      <c r="L41" s="317"/>
      <c r="M41" s="317"/>
      <c r="N41" s="317"/>
      <c r="O41" s="317"/>
      <c r="P41" s="317"/>
      <c r="Q41" s="317"/>
      <c r="R41" s="317"/>
      <c r="S41" s="317"/>
      <c r="T41" s="317"/>
      <c r="U41" s="317"/>
      <c r="V41" s="317"/>
    </row>
    <row r="42" spans="1:22" ht="83.25" customHeight="1" x14ac:dyDescent="0.25">
      <c r="A42" s="23" t="s">
        <v>471</v>
      </c>
      <c r="B42" s="153" t="s">
        <v>519</v>
      </c>
      <c r="C42" s="319" t="s">
        <v>623</v>
      </c>
      <c r="D42" s="317" t="s">
        <v>630</v>
      </c>
      <c r="E42" s="317"/>
      <c r="F42" s="317"/>
      <c r="G42" s="317"/>
      <c r="H42" s="317"/>
      <c r="I42" s="317"/>
      <c r="J42" s="317"/>
      <c r="K42" s="317"/>
      <c r="L42" s="317"/>
      <c r="M42" s="317"/>
      <c r="N42" s="317"/>
      <c r="O42" s="317"/>
      <c r="P42" s="317"/>
      <c r="Q42" s="317"/>
      <c r="R42" s="317"/>
      <c r="S42" s="317"/>
      <c r="T42" s="317"/>
      <c r="U42" s="317"/>
      <c r="V42" s="317"/>
    </row>
    <row r="43" spans="1:22" ht="186" customHeight="1" x14ac:dyDescent="0.25">
      <c r="A43" s="23" t="s">
        <v>484</v>
      </c>
      <c r="B43" s="153" t="s">
        <v>485</v>
      </c>
      <c r="C43" s="319" t="s">
        <v>632</v>
      </c>
      <c r="D43" s="317"/>
      <c r="E43" s="317"/>
      <c r="F43" s="317"/>
      <c r="G43" s="317"/>
      <c r="H43" s="317"/>
      <c r="I43" s="317"/>
      <c r="J43" s="317"/>
      <c r="K43" s="317"/>
      <c r="L43" s="317"/>
      <c r="M43" s="317"/>
      <c r="N43" s="317"/>
      <c r="O43" s="317"/>
      <c r="P43" s="317"/>
      <c r="Q43" s="317"/>
      <c r="R43" s="317"/>
      <c r="S43" s="317"/>
      <c r="T43" s="317"/>
      <c r="U43" s="317"/>
      <c r="V43" s="317"/>
    </row>
    <row r="44" spans="1:22" ht="111" customHeight="1" x14ac:dyDescent="0.25">
      <c r="A44" s="23" t="s">
        <v>472</v>
      </c>
      <c r="B44" s="153" t="s">
        <v>510</v>
      </c>
      <c r="C44" s="319" t="s">
        <v>632</v>
      </c>
      <c r="D44" s="317"/>
      <c r="E44" s="317"/>
      <c r="F44" s="317"/>
      <c r="G44" s="317"/>
      <c r="H44" s="317"/>
      <c r="I44" s="317"/>
      <c r="J44" s="317"/>
      <c r="K44" s="317"/>
      <c r="L44" s="317"/>
      <c r="M44" s="317"/>
      <c r="N44" s="317"/>
      <c r="O44" s="317"/>
      <c r="P44" s="317"/>
      <c r="Q44" s="317"/>
      <c r="R44" s="317"/>
      <c r="S44" s="317"/>
      <c r="T44" s="317"/>
      <c r="U44" s="317"/>
      <c r="V44" s="317"/>
    </row>
    <row r="45" spans="1:22" ht="89.25" customHeight="1" x14ac:dyDescent="0.25">
      <c r="A45" s="23" t="s">
        <v>505</v>
      </c>
      <c r="B45" s="153" t="s">
        <v>511</v>
      </c>
      <c r="C45" s="319" t="s">
        <v>632</v>
      </c>
      <c r="D45" s="317"/>
      <c r="E45" s="317"/>
      <c r="F45" s="317"/>
      <c r="G45" s="317"/>
      <c r="H45" s="317"/>
      <c r="I45" s="317"/>
      <c r="J45" s="317"/>
      <c r="K45" s="317"/>
      <c r="L45" s="317"/>
      <c r="M45" s="317"/>
      <c r="N45" s="317"/>
      <c r="O45" s="317"/>
      <c r="P45" s="317"/>
      <c r="Q45" s="317"/>
      <c r="R45" s="317"/>
      <c r="S45" s="317"/>
      <c r="T45" s="317"/>
      <c r="U45" s="317"/>
      <c r="V45" s="317"/>
    </row>
    <row r="46" spans="1:22" ht="101.25" customHeight="1" x14ac:dyDescent="0.25">
      <c r="A46" s="23" t="s">
        <v>473</v>
      </c>
      <c r="B46" s="153" t="s">
        <v>512</v>
      </c>
      <c r="C46" s="319" t="s">
        <v>632</v>
      </c>
      <c r="D46" s="317"/>
      <c r="E46" s="317"/>
      <c r="F46" s="317"/>
      <c r="G46" s="317"/>
      <c r="H46" s="317"/>
      <c r="I46" s="317"/>
      <c r="J46" s="317"/>
      <c r="K46" s="317"/>
      <c r="L46" s="317"/>
      <c r="M46" s="317"/>
      <c r="N46" s="317"/>
      <c r="O46" s="317"/>
      <c r="P46" s="317"/>
      <c r="Q46" s="317"/>
      <c r="R46" s="317"/>
      <c r="S46" s="317"/>
      <c r="T46" s="317"/>
      <c r="U46" s="317"/>
      <c r="V46" s="317"/>
    </row>
    <row r="47" spans="1:22" ht="18.75" customHeight="1" x14ac:dyDescent="0.25">
      <c r="A47" s="389"/>
      <c r="B47" s="390"/>
      <c r="C47" s="391"/>
      <c r="D47" s="317"/>
      <c r="E47" s="317"/>
      <c r="F47" s="317"/>
      <c r="G47" s="317"/>
      <c r="H47" s="317"/>
      <c r="I47" s="317"/>
      <c r="J47" s="317"/>
      <c r="K47" s="317"/>
      <c r="L47" s="317"/>
      <c r="M47" s="317"/>
      <c r="N47" s="317"/>
      <c r="O47" s="317"/>
      <c r="P47" s="317"/>
      <c r="Q47" s="317"/>
      <c r="R47" s="317"/>
      <c r="S47" s="317"/>
      <c r="T47" s="317"/>
      <c r="U47" s="317"/>
      <c r="V47" s="317"/>
    </row>
    <row r="48" spans="1:22" ht="75.75" customHeight="1" x14ac:dyDescent="0.25">
      <c r="A48" s="23" t="s">
        <v>506</v>
      </c>
      <c r="B48" s="153" t="s">
        <v>520</v>
      </c>
      <c r="C48" s="320" t="str">
        <f>CONCATENATE(ROUND('6.2. Паспорт фин осв ввод'!U24,2)," млн.руб.")</f>
        <v>2.93 млн.руб.</v>
      </c>
      <c r="D48" s="317"/>
      <c r="E48" s="317"/>
      <c r="F48" s="317"/>
      <c r="G48" s="317"/>
      <c r="H48" s="317"/>
      <c r="I48" s="317"/>
      <c r="J48" s="317"/>
      <c r="K48" s="317"/>
      <c r="L48" s="317"/>
      <c r="M48" s="317"/>
      <c r="N48" s="317"/>
      <c r="O48" s="317"/>
      <c r="P48" s="317"/>
      <c r="Q48" s="317"/>
      <c r="R48" s="317"/>
      <c r="S48" s="317"/>
      <c r="T48" s="317"/>
      <c r="U48" s="317"/>
      <c r="V48" s="317"/>
    </row>
    <row r="49" spans="1:22" ht="71.25" customHeight="1" x14ac:dyDescent="0.25">
      <c r="A49" s="23" t="s">
        <v>474</v>
      </c>
      <c r="B49" s="153" t="s">
        <v>521</v>
      </c>
      <c r="C49" s="320" t="str">
        <f>CONCATENATE(ROUND('6.2. Паспорт фин осв ввод'!U30,2)," млн.руб.")</f>
        <v>2.83 млн.руб.</v>
      </c>
      <c r="D49" s="317"/>
      <c r="E49" s="317"/>
      <c r="F49" s="317"/>
      <c r="G49" s="317"/>
      <c r="H49" s="317"/>
      <c r="I49" s="317"/>
      <c r="J49" s="317"/>
      <c r="K49" s="317"/>
      <c r="L49" s="317"/>
      <c r="M49" s="317"/>
      <c r="N49" s="317"/>
      <c r="O49" s="317"/>
      <c r="P49" s="317"/>
      <c r="Q49" s="317"/>
      <c r="R49" s="317"/>
      <c r="S49" s="317"/>
      <c r="T49" s="317"/>
      <c r="U49" s="317"/>
      <c r="V49" s="317"/>
    </row>
    <row r="50" spans="1:22"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row>
    <row r="51" spans="1:22"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row>
    <row r="52" spans="1:22"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row>
    <row r="53" spans="1:22"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row>
    <row r="54" spans="1:22"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row>
    <row r="55" spans="1:22"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row>
    <row r="56" spans="1:22"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row>
    <row r="57" spans="1:22"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row>
    <row r="58" spans="1:22"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row>
    <row r="59" spans="1:22"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row>
    <row r="60" spans="1:22"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row>
    <row r="61" spans="1:22"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row>
    <row r="62" spans="1:22"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row>
    <row r="63" spans="1:22"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row>
    <row r="64" spans="1:22"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row>
    <row r="65" spans="1:22"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row>
    <row r="66" spans="1:22"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row>
    <row r="67" spans="1:22"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row>
    <row r="68" spans="1:22"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row>
    <row r="69" spans="1:22"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row>
    <row r="70" spans="1:22"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row>
    <row r="71" spans="1:22"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row>
    <row r="72" spans="1:22"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row>
    <row r="73" spans="1:22"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row>
    <row r="74" spans="1:22"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row>
    <row r="75" spans="1:22"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row>
    <row r="76" spans="1:22"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row>
    <row r="77" spans="1:22"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row>
    <row r="78" spans="1:22"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row>
    <row r="79" spans="1:22"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row>
    <row r="80" spans="1:22"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row>
    <row r="81" spans="1:22"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row>
    <row r="82" spans="1:22"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row>
    <row r="83" spans="1:22"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row>
    <row r="84" spans="1:22"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row>
    <row r="85" spans="1:22"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row>
    <row r="86" spans="1:22"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row>
    <row r="87" spans="1:22"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row>
    <row r="88" spans="1:22"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row>
    <row r="89" spans="1:22"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row>
    <row r="90" spans="1:22"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row>
    <row r="91" spans="1:22"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row>
    <row r="92" spans="1:22"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row>
    <row r="93" spans="1:22"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row>
    <row r="94" spans="1:22"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row>
    <row r="95" spans="1:22"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row>
    <row r="96" spans="1:22"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row>
    <row r="97" spans="1:22"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row>
    <row r="98" spans="1:22"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row>
    <row r="99" spans="1:22"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row>
    <row r="100" spans="1:22"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row>
    <row r="101" spans="1:22"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row>
    <row r="102" spans="1:22"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row>
    <row r="103" spans="1:22"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row>
    <row r="104" spans="1:22"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row>
    <row r="105" spans="1:22"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row>
    <row r="106" spans="1:22"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row>
    <row r="107" spans="1:22"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row>
    <row r="108" spans="1:22"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row>
    <row r="109" spans="1:22"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row>
    <row r="110" spans="1:22"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row>
    <row r="111" spans="1:22"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row>
    <row r="112" spans="1:22"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row>
    <row r="113" spans="1:22"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row>
    <row r="114" spans="1:22"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row>
    <row r="115" spans="1:22"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row>
    <row r="116" spans="1:22"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row>
    <row r="117" spans="1:22"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row>
    <row r="118" spans="1:22"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row>
    <row r="119" spans="1:22"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row>
    <row r="120" spans="1:22"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row>
    <row r="121" spans="1:22"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row>
    <row r="122" spans="1:22"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row>
    <row r="123" spans="1:22"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row>
    <row r="124" spans="1:22"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row>
    <row r="125" spans="1:22"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row>
    <row r="126" spans="1:22"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row>
    <row r="127" spans="1:22"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row>
    <row r="128" spans="1:22"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row>
    <row r="129" spans="1:22"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row>
    <row r="130" spans="1:22"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row>
    <row r="131" spans="1:22"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row>
    <row r="132" spans="1:22"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row>
    <row r="133" spans="1:22"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row>
    <row r="134" spans="1:22"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row>
    <row r="135" spans="1:22"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row>
    <row r="136" spans="1:22"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row>
    <row r="137" spans="1:22"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row>
    <row r="138" spans="1:22"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row>
    <row r="139" spans="1:22"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row>
    <row r="140" spans="1:22"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row>
    <row r="141" spans="1:22"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row>
    <row r="142" spans="1:22"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row>
    <row r="143" spans="1:22"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row>
    <row r="144" spans="1:22"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row>
    <row r="145" spans="1:22"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row>
    <row r="146" spans="1:22"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row>
    <row r="147" spans="1:22"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row>
    <row r="148" spans="1:22"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row>
    <row r="149" spans="1:22"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row>
    <row r="150" spans="1:22"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row>
    <row r="151" spans="1:22"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row>
    <row r="152" spans="1:22"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row>
    <row r="153" spans="1:22"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row>
    <row r="154" spans="1:22"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row>
    <row r="155" spans="1:22"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row>
    <row r="156" spans="1:22"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row>
    <row r="157" spans="1:22"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row>
    <row r="158" spans="1:22"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row>
    <row r="159" spans="1:22"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row>
    <row r="160" spans="1:22"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row>
    <row r="161" spans="1:22"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row>
    <row r="162" spans="1:22"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row>
    <row r="163" spans="1:22"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row>
    <row r="164" spans="1:22"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row>
    <row r="165" spans="1:22"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row>
    <row r="166" spans="1:22"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row>
    <row r="167" spans="1:22"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row>
    <row r="168" spans="1:22"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row>
    <row r="169" spans="1:22"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row>
    <row r="170" spans="1:22"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row>
    <row r="171" spans="1:22"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row>
    <row r="172" spans="1:22"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row>
    <row r="173" spans="1:22"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row>
    <row r="174" spans="1:22"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row>
    <row r="175" spans="1:22"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row>
    <row r="176" spans="1:22"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row>
    <row r="177" spans="1:22"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row>
    <row r="178" spans="1:22"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row>
    <row r="179" spans="1:22"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row>
    <row r="180" spans="1:22"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row>
    <row r="181" spans="1:22"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row>
    <row r="182" spans="1:22"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row>
    <row r="183" spans="1:22"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row>
    <row r="184" spans="1:22"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row>
    <row r="185" spans="1:22"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row>
    <row r="186" spans="1:22"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row>
    <row r="187" spans="1:22"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row>
    <row r="188" spans="1:22"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row>
    <row r="189" spans="1:22"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row>
    <row r="190" spans="1:22"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row>
    <row r="191" spans="1:22"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row>
    <row r="192" spans="1:22"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row>
    <row r="193" spans="1:22"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row>
    <row r="194" spans="1:22"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row>
    <row r="195" spans="1:22"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row>
    <row r="196" spans="1:22"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row>
    <row r="197" spans="1:22"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row>
    <row r="198" spans="1:22"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row>
    <row r="199" spans="1:22"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row>
    <row r="200" spans="1:22"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row>
    <row r="201" spans="1:22"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row>
    <row r="202" spans="1:22"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row>
    <row r="203" spans="1:22"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row>
    <row r="204" spans="1:22"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row>
    <row r="205" spans="1:22"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row>
    <row r="206" spans="1:22"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row>
    <row r="207" spans="1:22"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row>
    <row r="208" spans="1:22"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row>
    <row r="209" spans="1:22"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row>
    <row r="210" spans="1:22"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row>
    <row r="211" spans="1:22"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row>
    <row r="212" spans="1:22"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row>
    <row r="213" spans="1:22"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row>
    <row r="214" spans="1:22"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row>
    <row r="215" spans="1:22"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row>
    <row r="216" spans="1:22"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row>
    <row r="217" spans="1:22"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row>
    <row r="218" spans="1:22"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row>
    <row r="219" spans="1:22"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row>
    <row r="220" spans="1:22"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row>
    <row r="221" spans="1:22"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row>
    <row r="222" spans="1:22"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row>
    <row r="223" spans="1:22"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row>
    <row r="224" spans="1:22"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row>
    <row r="225" spans="1:22"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row>
    <row r="226" spans="1:22"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row>
    <row r="227" spans="1:22"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row>
    <row r="228" spans="1:22"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row>
    <row r="229" spans="1:22"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row>
    <row r="230" spans="1:22"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row>
    <row r="231" spans="1:22"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row>
    <row r="232" spans="1:22"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row>
    <row r="233" spans="1:22"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row>
    <row r="234" spans="1:22"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row>
    <row r="235" spans="1:22"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row>
    <row r="236" spans="1:22"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row>
    <row r="237" spans="1:22"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row>
    <row r="238" spans="1:22"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row>
    <row r="239" spans="1:22"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row>
    <row r="240" spans="1:22"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row>
    <row r="241" spans="1:22"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row>
    <row r="242" spans="1:22"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row>
    <row r="243" spans="1:22"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row>
    <row r="244" spans="1:22"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row>
    <row r="245" spans="1:22"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row>
    <row r="246" spans="1:22"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row>
    <row r="247" spans="1:22"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row>
    <row r="248" spans="1:22"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row>
    <row r="249" spans="1:22"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row>
    <row r="250" spans="1:22"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row>
    <row r="251" spans="1:22"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row>
    <row r="252" spans="1:22"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row>
    <row r="253" spans="1:22"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row>
    <row r="254" spans="1:22"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row>
    <row r="255" spans="1:22"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row>
    <row r="256" spans="1:22"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row>
    <row r="257" spans="1:22"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row>
    <row r="258" spans="1:22"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row>
    <row r="259" spans="1:22"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row>
    <row r="260" spans="1:22"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row>
    <row r="261" spans="1:22"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row>
    <row r="262" spans="1:22"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row>
    <row r="263" spans="1:22"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row>
    <row r="264" spans="1:22"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row>
    <row r="265" spans="1:22"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row>
    <row r="266" spans="1:22"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row>
    <row r="267" spans="1:22"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row>
    <row r="268" spans="1:22"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row>
    <row r="269" spans="1:22"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row>
    <row r="270" spans="1:22"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row>
    <row r="271" spans="1:22"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row>
    <row r="272" spans="1:22"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row>
    <row r="273" spans="1:22"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row>
    <row r="274" spans="1:22"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row>
    <row r="275" spans="1:22"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row>
    <row r="276" spans="1:22"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row>
    <row r="277" spans="1:22"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row>
    <row r="278" spans="1:22"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row>
    <row r="279" spans="1:22"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row>
    <row r="280" spans="1:22"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row>
    <row r="281" spans="1:22"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row>
    <row r="282" spans="1:22"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row>
    <row r="283" spans="1:22"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row>
    <row r="284" spans="1:22"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row>
    <row r="285" spans="1:22"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row>
    <row r="286" spans="1:22"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row>
    <row r="287" spans="1:22"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row>
    <row r="288" spans="1:22"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row>
    <row r="289" spans="1:22"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row>
    <row r="290" spans="1:22"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row>
    <row r="291" spans="1:22"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row>
    <row r="292" spans="1:22"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row>
    <row r="293" spans="1:22"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row>
    <row r="294" spans="1:22"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row>
    <row r="295" spans="1:22"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row>
    <row r="296" spans="1:22"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row>
    <row r="297" spans="1:22"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row>
    <row r="298" spans="1:22"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row>
    <row r="299" spans="1:22"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row>
    <row r="300" spans="1:22"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row>
    <row r="301" spans="1:22"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row>
    <row r="302" spans="1:22"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row>
    <row r="303" spans="1:22"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row>
    <row r="304" spans="1:22"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row>
    <row r="305" spans="1:22"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row>
    <row r="306" spans="1:22"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row>
    <row r="307" spans="1:22"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row>
    <row r="308" spans="1:22"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row>
    <row r="309" spans="1:22"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row>
    <row r="310" spans="1:22"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row>
    <row r="311" spans="1:22"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row>
    <row r="312" spans="1:22"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row>
    <row r="313" spans="1:22"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row>
    <row r="314" spans="1:22"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row>
    <row r="315" spans="1:22"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row>
    <row r="316" spans="1:22"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row>
    <row r="317" spans="1:22"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row>
    <row r="318" spans="1:22"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row>
    <row r="319" spans="1:22"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row>
    <row r="320" spans="1:22"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row>
    <row r="321" spans="1:22"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row>
    <row r="322" spans="1:22"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row>
    <row r="323" spans="1:22"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row>
    <row r="324" spans="1:22"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row>
    <row r="325" spans="1:22"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row>
    <row r="326" spans="1:22"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row>
    <row r="327" spans="1:22"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row>
    <row r="328" spans="1:22"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row>
    <row r="329" spans="1:22"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row>
    <row r="330" spans="1:22"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row>
    <row r="331" spans="1:22"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row>
    <row r="332" spans="1:22"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row>
    <row r="333" spans="1:22"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row>
    <row r="334" spans="1:22"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row>
    <row r="335" spans="1:22"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row>
    <row r="336" spans="1:22"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row>
    <row r="337" spans="1:22"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row>
    <row r="338" spans="1:22"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K29" sqref="K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8.5703125" style="56" customWidth="1"/>
    <col min="15" max="15" width="8.7109375" style="56" customWidth="1"/>
    <col min="16" max="17" width="6.7109375" style="56" customWidth="1"/>
    <col min="18" max="19" width="7.57031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4" t="s">
        <v>66</v>
      </c>
    </row>
    <row r="2" spans="1:21" ht="18.75" x14ac:dyDescent="0.3">
      <c r="A2" s="57"/>
      <c r="B2" s="57"/>
      <c r="C2" s="57"/>
      <c r="D2" s="57"/>
      <c r="E2" s="57"/>
      <c r="F2" s="57"/>
      <c r="L2" s="57"/>
      <c r="M2" s="57"/>
      <c r="U2" s="14" t="s">
        <v>8</v>
      </c>
    </row>
    <row r="3" spans="1:21" ht="18.75" x14ac:dyDescent="0.3">
      <c r="A3" s="57"/>
      <c r="B3" s="57"/>
      <c r="C3" s="57"/>
      <c r="D3" s="57"/>
      <c r="E3" s="57"/>
      <c r="F3" s="57"/>
      <c r="L3" s="57"/>
      <c r="M3" s="57"/>
      <c r="U3" s="14" t="s">
        <v>65</v>
      </c>
    </row>
    <row r="4" spans="1:21" ht="18.75" customHeight="1" x14ac:dyDescent="0.25">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c r="T4" s="392"/>
      <c r="U4" s="392"/>
    </row>
    <row r="5" spans="1:21" ht="18.75" x14ac:dyDescent="0.3">
      <c r="A5" s="57"/>
      <c r="B5" s="57"/>
      <c r="C5" s="57"/>
      <c r="D5" s="57"/>
      <c r="E5" s="57"/>
      <c r="F5" s="57"/>
      <c r="L5" s="57"/>
      <c r="M5" s="57"/>
      <c r="U5" s="14"/>
    </row>
    <row r="6" spans="1:21" ht="18.75" x14ac:dyDescent="0.25">
      <c r="A6" s="401" t="s">
        <v>7</v>
      </c>
      <c r="B6" s="401"/>
      <c r="C6" s="401"/>
      <c r="D6" s="401"/>
      <c r="E6" s="401"/>
      <c r="F6" s="401"/>
      <c r="G6" s="401"/>
      <c r="H6" s="401"/>
      <c r="I6" s="401"/>
      <c r="J6" s="401"/>
      <c r="K6" s="401"/>
      <c r="L6" s="401"/>
      <c r="M6" s="401"/>
      <c r="N6" s="401"/>
      <c r="O6" s="401"/>
      <c r="P6" s="401"/>
      <c r="Q6" s="401"/>
      <c r="R6" s="401"/>
      <c r="S6" s="401"/>
      <c r="T6" s="401"/>
      <c r="U6" s="401"/>
    </row>
    <row r="7" spans="1:21" ht="18.75" x14ac:dyDescent="0.25">
      <c r="A7" s="12"/>
      <c r="B7" s="12"/>
      <c r="C7" s="12"/>
      <c r="D7" s="12"/>
      <c r="E7" s="12"/>
      <c r="F7" s="12"/>
      <c r="G7" s="12"/>
      <c r="H7" s="12"/>
      <c r="I7" s="12"/>
      <c r="J7" s="80"/>
      <c r="K7" s="80"/>
      <c r="L7" s="80"/>
      <c r="M7" s="80"/>
      <c r="N7" s="80"/>
      <c r="O7" s="80"/>
      <c r="P7" s="80"/>
      <c r="Q7" s="80"/>
      <c r="R7" s="80"/>
      <c r="S7" s="80"/>
      <c r="T7" s="80"/>
      <c r="U7" s="80"/>
    </row>
    <row r="8" spans="1:21"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row>
    <row r="10" spans="1:21" ht="18.75" x14ac:dyDescent="0.25">
      <c r="A10" s="12"/>
      <c r="B10" s="12"/>
      <c r="C10" s="12"/>
      <c r="D10" s="12"/>
      <c r="E10" s="12"/>
      <c r="F10" s="12"/>
      <c r="G10" s="12"/>
      <c r="H10" s="12"/>
      <c r="I10" s="12"/>
      <c r="J10" s="80"/>
      <c r="K10" s="80"/>
      <c r="L10" s="80"/>
      <c r="M10" s="80"/>
      <c r="N10" s="80"/>
      <c r="O10" s="80"/>
      <c r="P10" s="80"/>
      <c r="Q10" s="80"/>
      <c r="R10" s="80"/>
      <c r="S10" s="80"/>
      <c r="T10" s="80"/>
      <c r="U10" s="80"/>
    </row>
    <row r="11" spans="1:21" x14ac:dyDescent="0.25">
      <c r="A11" s="402" t="str">
        <f>'1. паспорт местоположение'!A12:C12</f>
        <v>K_18-1115</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row>
    <row r="13" spans="1:21" ht="16.5" customHeight="1" x14ac:dyDescent="0.3">
      <c r="A13" s="10"/>
      <c r="B13" s="10"/>
      <c r="C13" s="10"/>
      <c r="D13" s="10"/>
      <c r="E13" s="10"/>
      <c r="F13" s="10"/>
      <c r="G13" s="10"/>
      <c r="H13" s="10"/>
      <c r="I13" s="10"/>
      <c r="J13" s="79"/>
      <c r="K13" s="79"/>
      <c r="L13" s="79"/>
      <c r="M13" s="79"/>
      <c r="N13" s="79"/>
      <c r="O13" s="79"/>
      <c r="P13" s="79"/>
      <c r="Q13" s="79"/>
      <c r="R13" s="79"/>
      <c r="S13" s="79"/>
      <c r="T13" s="79"/>
      <c r="U13" s="79"/>
    </row>
    <row r="14" spans="1:21" x14ac:dyDescent="0.25">
      <c r="A14"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7"/>
      <c r="L17" s="57"/>
      <c r="M17" s="57"/>
      <c r="N17" s="57"/>
      <c r="O17" s="57"/>
      <c r="P17" s="57"/>
      <c r="Q17" s="57"/>
      <c r="R17" s="57"/>
      <c r="S17" s="57"/>
      <c r="T17" s="57"/>
    </row>
    <row r="18" spans="1:24" x14ac:dyDescent="0.25">
      <c r="A18" s="490" t="s">
        <v>494</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7"/>
      <c r="B19" s="57"/>
      <c r="C19" s="57"/>
      <c r="D19" s="57"/>
      <c r="E19" s="57"/>
      <c r="F19" s="57"/>
      <c r="L19" s="57"/>
      <c r="M19" s="57"/>
      <c r="N19" s="57"/>
      <c r="O19" s="57"/>
      <c r="P19" s="57"/>
      <c r="Q19" s="57"/>
      <c r="R19" s="57"/>
      <c r="S19" s="57"/>
      <c r="T19" s="57"/>
    </row>
    <row r="20" spans="1:24" ht="33" customHeight="1" x14ac:dyDescent="0.25">
      <c r="A20" s="487" t="s">
        <v>183</v>
      </c>
      <c r="B20" s="487" t="s">
        <v>182</v>
      </c>
      <c r="C20" s="469" t="s">
        <v>181</v>
      </c>
      <c r="D20" s="469"/>
      <c r="E20" s="489" t="s">
        <v>180</v>
      </c>
      <c r="F20" s="489"/>
      <c r="G20" s="487" t="s">
        <v>697</v>
      </c>
      <c r="H20" s="480" t="s">
        <v>698</v>
      </c>
      <c r="I20" s="481"/>
      <c r="J20" s="481"/>
      <c r="K20" s="481"/>
      <c r="L20" s="480" t="s">
        <v>699</v>
      </c>
      <c r="M20" s="481"/>
      <c r="N20" s="481"/>
      <c r="O20" s="481"/>
      <c r="P20" s="480" t="s">
        <v>700</v>
      </c>
      <c r="Q20" s="481"/>
      <c r="R20" s="481"/>
      <c r="S20" s="481"/>
      <c r="T20" s="491" t="s">
        <v>179</v>
      </c>
      <c r="U20" s="492"/>
      <c r="V20" s="78"/>
      <c r="W20" s="78"/>
      <c r="X20" s="78"/>
    </row>
    <row r="21" spans="1:24" ht="99.75" customHeight="1" x14ac:dyDescent="0.25">
      <c r="A21" s="488"/>
      <c r="B21" s="488"/>
      <c r="C21" s="469"/>
      <c r="D21" s="469"/>
      <c r="E21" s="489"/>
      <c r="F21" s="489"/>
      <c r="G21" s="488"/>
      <c r="H21" s="469" t="s">
        <v>2</v>
      </c>
      <c r="I21" s="469"/>
      <c r="J21" s="469" t="s">
        <v>631</v>
      </c>
      <c r="K21" s="469"/>
      <c r="L21" s="469" t="s">
        <v>2</v>
      </c>
      <c r="M21" s="469"/>
      <c r="N21" s="469" t="s">
        <v>631</v>
      </c>
      <c r="O21" s="469"/>
      <c r="P21" s="469" t="s">
        <v>2</v>
      </c>
      <c r="Q21" s="469"/>
      <c r="R21" s="469" t="s">
        <v>631</v>
      </c>
      <c r="S21" s="469"/>
      <c r="T21" s="493"/>
      <c r="U21" s="494"/>
    </row>
    <row r="22" spans="1:24" ht="89.25" customHeight="1" x14ac:dyDescent="0.25">
      <c r="A22" s="476"/>
      <c r="B22" s="476"/>
      <c r="C22" s="75" t="s">
        <v>2</v>
      </c>
      <c r="D22" s="75" t="s">
        <v>178</v>
      </c>
      <c r="E22" s="77" t="s">
        <v>695</v>
      </c>
      <c r="F22" s="77" t="s">
        <v>696</v>
      </c>
      <c r="G22" s="476"/>
      <c r="H22" s="76" t="s">
        <v>475</v>
      </c>
      <c r="I22" s="76" t="s">
        <v>476</v>
      </c>
      <c r="J22" s="76" t="s">
        <v>475</v>
      </c>
      <c r="K22" s="76" t="s">
        <v>476</v>
      </c>
      <c r="L22" s="76" t="s">
        <v>475</v>
      </c>
      <c r="M22" s="76" t="s">
        <v>476</v>
      </c>
      <c r="N22" s="76" t="s">
        <v>475</v>
      </c>
      <c r="O22" s="76" t="s">
        <v>476</v>
      </c>
      <c r="P22" s="76" t="s">
        <v>475</v>
      </c>
      <c r="Q22" s="76" t="s">
        <v>476</v>
      </c>
      <c r="R22" s="76" t="s">
        <v>475</v>
      </c>
      <c r="S22" s="76" t="s">
        <v>476</v>
      </c>
      <c r="T22" s="75" t="s">
        <v>2</v>
      </c>
      <c r="U22" s="285" t="s">
        <v>9</v>
      </c>
    </row>
    <row r="23" spans="1:24" ht="19.5" customHeight="1" x14ac:dyDescent="0.25">
      <c r="A23" s="68">
        <v>1</v>
      </c>
      <c r="B23" s="68">
        <v>2</v>
      </c>
      <c r="C23" s="68">
        <v>3</v>
      </c>
      <c r="D23" s="68">
        <v>4</v>
      </c>
      <c r="E23" s="68">
        <v>5</v>
      </c>
      <c r="F23" s="68">
        <v>6</v>
      </c>
      <c r="G23" s="149">
        <v>7</v>
      </c>
      <c r="H23" s="149">
        <v>8</v>
      </c>
      <c r="I23" s="149">
        <v>9</v>
      </c>
      <c r="J23" s="149">
        <v>10</v>
      </c>
      <c r="K23" s="149">
        <v>11</v>
      </c>
      <c r="L23" s="149">
        <v>12</v>
      </c>
      <c r="M23" s="149">
        <v>13</v>
      </c>
      <c r="N23" s="149">
        <v>14</v>
      </c>
      <c r="O23" s="149">
        <v>15</v>
      </c>
      <c r="P23" s="149">
        <v>16</v>
      </c>
      <c r="Q23" s="149">
        <v>17</v>
      </c>
      <c r="R23" s="149">
        <v>18</v>
      </c>
      <c r="S23" s="149">
        <v>19</v>
      </c>
      <c r="T23" s="370">
        <v>20</v>
      </c>
      <c r="U23" s="370">
        <v>21</v>
      </c>
    </row>
    <row r="24" spans="1:24" ht="47.25" customHeight="1" x14ac:dyDescent="0.25">
      <c r="A24" s="73">
        <v>1</v>
      </c>
      <c r="B24" s="72" t="s">
        <v>177</v>
      </c>
      <c r="C24" s="286">
        <f>SUM(C25:C29)</f>
        <v>0</v>
      </c>
      <c r="D24" s="286">
        <f t="shared" ref="D24:S24" si="0">SUM(D25:D29)</f>
        <v>0</v>
      </c>
      <c r="E24" s="286">
        <f t="shared" si="0"/>
        <v>0</v>
      </c>
      <c r="F24" s="286">
        <f t="shared" si="0"/>
        <v>0</v>
      </c>
      <c r="G24" s="286">
        <f t="shared" si="0"/>
        <v>0.254</v>
      </c>
      <c r="H24" s="286">
        <f t="shared" si="0"/>
        <v>0</v>
      </c>
      <c r="I24" s="286">
        <f t="shared" si="0"/>
        <v>0</v>
      </c>
      <c r="J24" s="286">
        <f t="shared" si="0"/>
        <v>2.9281696200000003</v>
      </c>
      <c r="K24" s="286">
        <f t="shared" si="0"/>
        <v>0</v>
      </c>
      <c r="L24" s="286">
        <f t="shared" si="0"/>
        <v>0</v>
      </c>
      <c r="M24" s="286">
        <f t="shared" si="0"/>
        <v>0</v>
      </c>
      <c r="N24" s="286">
        <f t="shared" si="0"/>
        <v>0</v>
      </c>
      <c r="O24" s="286">
        <f t="shared" si="0"/>
        <v>0</v>
      </c>
      <c r="P24" s="286">
        <f t="shared" si="0"/>
        <v>0</v>
      </c>
      <c r="Q24" s="286">
        <f t="shared" si="0"/>
        <v>0</v>
      </c>
      <c r="R24" s="286">
        <f t="shared" si="0"/>
        <v>0</v>
      </c>
      <c r="S24" s="286">
        <f t="shared" si="0"/>
        <v>0</v>
      </c>
      <c r="T24" s="286">
        <f>H24+L24+P24</f>
        <v>0</v>
      </c>
      <c r="U24" s="294">
        <f>J24+N24+R24</f>
        <v>2.9281696200000003</v>
      </c>
      <c r="W24" s="380">
        <f>G24+U24</f>
        <v>3.1821696200000003</v>
      </c>
    </row>
    <row r="25" spans="1:24" ht="24" customHeight="1" x14ac:dyDescent="0.25">
      <c r="A25" s="70" t="s">
        <v>176</v>
      </c>
      <c r="B25" s="43" t="s">
        <v>175</v>
      </c>
      <c r="C25" s="286">
        <v>0</v>
      </c>
      <c r="D25" s="286">
        <v>0</v>
      </c>
      <c r="E25" s="288">
        <v>0</v>
      </c>
      <c r="F25" s="288">
        <v>0</v>
      </c>
      <c r="G25" s="287">
        <v>0</v>
      </c>
      <c r="H25" s="287">
        <v>0</v>
      </c>
      <c r="I25" s="287">
        <v>0</v>
      </c>
      <c r="J25" s="287">
        <v>0</v>
      </c>
      <c r="K25" s="287">
        <v>0</v>
      </c>
      <c r="L25" s="287">
        <v>0</v>
      </c>
      <c r="M25" s="287">
        <v>0</v>
      </c>
      <c r="N25" s="287">
        <v>0</v>
      </c>
      <c r="O25" s="287">
        <v>0</v>
      </c>
      <c r="P25" s="287">
        <v>0</v>
      </c>
      <c r="Q25" s="287">
        <v>0</v>
      </c>
      <c r="R25" s="287">
        <v>0</v>
      </c>
      <c r="S25" s="287">
        <v>0</v>
      </c>
      <c r="T25" s="286">
        <f t="shared" ref="T25:T64" si="1">H25+L25+P25</f>
        <v>0</v>
      </c>
      <c r="U25" s="294">
        <f t="shared" ref="U25:U64" si="2">J25+N25+R25</f>
        <v>0</v>
      </c>
    </row>
    <row r="26" spans="1:24" x14ac:dyDescent="0.25">
      <c r="A26" s="70" t="s">
        <v>174</v>
      </c>
      <c r="B26" s="43" t="s">
        <v>173</v>
      </c>
      <c r="C26" s="286">
        <v>0</v>
      </c>
      <c r="D26" s="286">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6">
        <f t="shared" si="1"/>
        <v>0</v>
      </c>
      <c r="U26" s="294">
        <f t="shared" si="2"/>
        <v>0</v>
      </c>
    </row>
    <row r="27" spans="1:24" ht="31.5" x14ac:dyDescent="0.25">
      <c r="A27" s="70" t="s">
        <v>172</v>
      </c>
      <c r="B27" s="43" t="s">
        <v>431</v>
      </c>
      <c r="C27" s="286">
        <v>0</v>
      </c>
      <c r="D27" s="286">
        <v>0</v>
      </c>
      <c r="E27" s="287">
        <v>0</v>
      </c>
      <c r="F27" s="287">
        <v>0</v>
      </c>
      <c r="G27" s="287">
        <v>0</v>
      </c>
      <c r="H27" s="287">
        <v>0</v>
      </c>
      <c r="I27" s="287">
        <v>0</v>
      </c>
      <c r="J27" s="287">
        <v>0</v>
      </c>
      <c r="K27" s="287">
        <v>0</v>
      </c>
      <c r="L27" s="287">
        <v>0</v>
      </c>
      <c r="M27" s="287">
        <v>0</v>
      </c>
      <c r="N27" s="289">
        <v>0</v>
      </c>
      <c r="O27" s="287">
        <v>0</v>
      </c>
      <c r="P27" s="287">
        <v>0</v>
      </c>
      <c r="Q27" s="287">
        <v>0</v>
      </c>
      <c r="R27" s="287">
        <v>0</v>
      </c>
      <c r="S27" s="287">
        <v>0</v>
      </c>
      <c r="T27" s="286">
        <f t="shared" si="1"/>
        <v>0</v>
      </c>
      <c r="U27" s="294">
        <f t="shared" si="2"/>
        <v>0</v>
      </c>
    </row>
    <row r="28" spans="1:24" x14ac:dyDescent="0.25">
      <c r="A28" s="70" t="s">
        <v>171</v>
      </c>
      <c r="B28" s="43" t="s">
        <v>170</v>
      </c>
      <c r="C28" s="286">
        <v>0</v>
      </c>
      <c r="D28" s="286">
        <v>0</v>
      </c>
      <c r="E28" s="287">
        <v>0</v>
      </c>
      <c r="F28" s="287">
        <v>0</v>
      </c>
      <c r="G28" s="287">
        <v>0.254</v>
      </c>
      <c r="H28" s="287">
        <v>0</v>
      </c>
      <c r="I28" s="287">
        <v>0</v>
      </c>
      <c r="J28" s="287">
        <v>2.9281696200000003</v>
      </c>
      <c r="K28" s="287">
        <v>0</v>
      </c>
      <c r="L28" s="287">
        <v>0</v>
      </c>
      <c r="M28" s="287">
        <v>0</v>
      </c>
      <c r="N28" s="287">
        <v>0</v>
      </c>
      <c r="O28" s="287">
        <v>0</v>
      </c>
      <c r="P28" s="287">
        <v>0</v>
      </c>
      <c r="Q28" s="287">
        <v>0</v>
      </c>
      <c r="R28" s="287">
        <v>0</v>
      </c>
      <c r="S28" s="287">
        <v>0</v>
      </c>
      <c r="T28" s="286">
        <f t="shared" si="1"/>
        <v>0</v>
      </c>
      <c r="U28" s="294">
        <f t="shared" si="2"/>
        <v>2.9281696200000003</v>
      </c>
    </row>
    <row r="29" spans="1:24" x14ac:dyDescent="0.25">
      <c r="A29" s="70" t="s">
        <v>169</v>
      </c>
      <c r="B29" s="74" t="s">
        <v>168</v>
      </c>
      <c r="C29" s="286">
        <v>0</v>
      </c>
      <c r="D29" s="286">
        <v>0</v>
      </c>
      <c r="E29" s="287">
        <v>0</v>
      </c>
      <c r="F29" s="287">
        <v>0</v>
      </c>
      <c r="G29" s="287">
        <v>0</v>
      </c>
      <c r="H29" s="287">
        <v>0</v>
      </c>
      <c r="I29" s="287">
        <v>0</v>
      </c>
      <c r="J29" s="287">
        <v>0</v>
      </c>
      <c r="K29" s="287">
        <v>0</v>
      </c>
      <c r="L29" s="287">
        <v>0</v>
      </c>
      <c r="M29" s="287">
        <v>0</v>
      </c>
      <c r="N29" s="287">
        <v>0</v>
      </c>
      <c r="O29" s="287">
        <v>0</v>
      </c>
      <c r="P29" s="287">
        <v>0</v>
      </c>
      <c r="Q29" s="287">
        <v>0</v>
      </c>
      <c r="R29" s="287">
        <v>0</v>
      </c>
      <c r="S29" s="287">
        <v>0</v>
      </c>
      <c r="T29" s="286">
        <f t="shared" si="1"/>
        <v>0</v>
      </c>
      <c r="U29" s="294">
        <f t="shared" si="2"/>
        <v>0</v>
      </c>
    </row>
    <row r="30" spans="1:24" ht="47.25" x14ac:dyDescent="0.25">
      <c r="A30" s="73" t="s">
        <v>61</v>
      </c>
      <c r="B30" s="72" t="s">
        <v>167</v>
      </c>
      <c r="C30" s="286">
        <v>0</v>
      </c>
      <c r="D30" s="286">
        <v>0</v>
      </c>
      <c r="E30" s="290">
        <v>0</v>
      </c>
      <c r="F30" s="290">
        <v>0</v>
      </c>
      <c r="G30" s="286">
        <f t="shared" ref="G30:I30" si="3">SUM(G31:G34)</f>
        <v>0.254</v>
      </c>
      <c r="H30" s="286">
        <f t="shared" si="3"/>
        <v>0</v>
      </c>
      <c r="I30" s="286">
        <f t="shared" si="3"/>
        <v>0</v>
      </c>
      <c r="J30" s="286">
        <f>SUM(J31:J34)</f>
        <v>2.8328936200000001</v>
      </c>
      <c r="K30" s="286">
        <f t="shared" ref="K30:S30" si="4">SUM(K31:K34)</f>
        <v>0</v>
      </c>
      <c r="L30" s="286">
        <f t="shared" si="4"/>
        <v>0</v>
      </c>
      <c r="M30" s="286">
        <f t="shared" si="4"/>
        <v>0</v>
      </c>
      <c r="N30" s="286">
        <f t="shared" si="4"/>
        <v>0</v>
      </c>
      <c r="O30" s="286">
        <f t="shared" si="4"/>
        <v>0</v>
      </c>
      <c r="P30" s="286">
        <f t="shared" si="4"/>
        <v>0</v>
      </c>
      <c r="Q30" s="286">
        <f t="shared" si="4"/>
        <v>0</v>
      </c>
      <c r="R30" s="286">
        <f t="shared" si="4"/>
        <v>0</v>
      </c>
      <c r="S30" s="286">
        <f t="shared" si="4"/>
        <v>0</v>
      </c>
      <c r="T30" s="286">
        <f t="shared" si="1"/>
        <v>0</v>
      </c>
      <c r="U30" s="294">
        <f t="shared" si="2"/>
        <v>2.8328936200000001</v>
      </c>
      <c r="W30" s="380">
        <f>G30+U30</f>
        <v>3.0868936200000001</v>
      </c>
    </row>
    <row r="31" spans="1:24" x14ac:dyDescent="0.25">
      <c r="A31" s="73" t="s">
        <v>166</v>
      </c>
      <c r="B31" s="43" t="s">
        <v>165</v>
      </c>
      <c r="C31" s="286">
        <v>0</v>
      </c>
      <c r="D31" s="286">
        <v>0</v>
      </c>
      <c r="E31" s="287">
        <v>0</v>
      </c>
      <c r="F31" s="287">
        <v>0</v>
      </c>
      <c r="G31" s="287">
        <v>0.254</v>
      </c>
      <c r="H31" s="287">
        <v>0</v>
      </c>
      <c r="I31" s="287">
        <v>0</v>
      </c>
      <c r="J31" s="287">
        <v>0</v>
      </c>
      <c r="K31" s="287">
        <v>0</v>
      </c>
      <c r="L31" s="287">
        <v>0</v>
      </c>
      <c r="M31" s="287">
        <v>0</v>
      </c>
      <c r="N31" s="287">
        <v>0</v>
      </c>
      <c r="O31" s="287">
        <v>0</v>
      </c>
      <c r="P31" s="287">
        <v>0</v>
      </c>
      <c r="Q31" s="287">
        <v>0</v>
      </c>
      <c r="R31" s="287">
        <v>0</v>
      </c>
      <c r="S31" s="287">
        <v>0</v>
      </c>
      <c r="T31" s="286">
        <f t="shared" si="1"/>
        <v>0</v>
      </c>
      <c r="U31" s="294">
        <f t="shared" si="2"/>
        <v>0</v>
      </c>
    </row>
    <row r="32" spans="1:24" ht="31.5" x14ac:dyDescent="0.25">
      <c r="A32" s="73" t="s">
        <v>164</v>
      </c>
      <c r="B32" s="43" t="s">
        <v>163</v>
      </c>
      <c r="C32" s="286">
        <v>0</v>
      </c>
      <c r="D32" s="286">
        <v>0</v>
      </c>
      <c r="E32" s="287">
        <v>0</v>
      </c>
      <c r="F32" s="287">
        <v>0</v>
      </c>
      <c r="G32" s="287">
        <v>0</v>
      </c>
      <c r="H32" s="287">
        <v>0</v>
      </c>
      <c r="I32" s="287">
        <v>0</v>
      </c>
      <c r="J32" s="287">
        <v>0.92892493999999992</v>
      </c>
      <c r="K32" s="287">
        <v>0</v>
      </c>
      <c r="L32" s="287">
        <v>0</v>
      </c>
      <c r="M32" s="287">
        <v>0</v>
      </c>
      <c r="N32" s="287">
        <v>0</v>
      </c>
      <c r="O32" s="287">
        <v>0</v>
      </c>
      <c r="P32" s="287">
        <v>0</v>
      </c>
      <c r="Q32" s="287">
        <v>0</v>
      </c>
      <c r="R32" s="287">
        <v>0</v>
      </c>
      <c r="S32" s="287">
        <v>0</v>
      </c>
      <c r="T32" s="286">
        <f t="shared" si="1"/>
        <v>0</v>
      </c>
      <c r="U32" s="294">
        <f t="shared" si="2"/>
        <v>0.92892493999999992</v>
      </c>
    </row>
    <row r="33" spans="1:21" x14ac:dyDescent="0.25">
      <c r="A33" s="73" t="s">
        <v>162</v>
      </c>
      <c r="B33" s="43" t="s">
        <v>161</v>
      </c>
      <c r="C33" s="286">
        <v>0</v>
      </c>
      <c r="D33" s="286">
        <v>0</v>
      </c>
      <c r="E33" s="287">
        <v>0</v>
      </c>
      <c r="F33" s="287">
        <v>0</v>
      </c>
      <c r="G33" s="287">
        <v>0</v>
      </c>
      <c r="H33" s="287">
        <v>0</v>
      </c>
      <c r="I33" s="287">
        <v>0</v>
      </c>
      <c r="J33" s="287">
        <v>1.36400151</v>
      </c>
      <c r="K33" s="287">
        <v>0</v>
      </c>
      <c r="L33" s="287">
        <v>0</v>
      </c>
      <c r="M33" s="287">
        <v>0</v>
      </c>
      <c r="N33" s="287">
        <v>0</v>
      </c>
      <c r="O33" s="287">
        <v>0</v>
      </c>
      <c r="P33" s="287">
        <v>0</v>
      </c>
      <c r="Q33" s="287">
        <v>0</v>
      </c>
      <c r="R33" s="287">
        <v>0</v>
      </c>
      <c r="S33" s="287">
        <v>0</v>
      </c>
      <c r="T33" s="286">
        <f t="shared" si="1"/>
        <v>0</v>
      </c>
      <c r="U33" s="294">
        <f t="shared" si="2"/>
        <v>1.36400151</v>
      </c>
    </row>
    <row r="34" spans="1:21" x14ac:dyDescent="0.25">
      <c r="A34" s="73" t="s">
        <v>160</v>
      </c>
      <c r="B34" s="43" t="s">
        <v>159</v>
      </c>
      <c r="C34" s="286">
        <v>0</v>
      </c>
      <c r="D34" s="286">
        <v>0</v>
      </c>
      <c r="E34" s="287">
        <v>0</v>
      </c>
      <c r="F34" s="287">
        <v>0</v>
      </c>
      <c r="G34" s="287">
        <v>0</v>
      </c>
      <c r="H34" s="287">
        <v>0</v>
      </c>
      <c r="I34" s="287">
        <v>0</v>
      </c>
      <c r="J34" s="287">
        <v>0.53996717000000005</v>
      </c>
      <c r="K34" s="287">
        <v>0</v>
      </c>
      <c r="L34" s="287">
        <v>0</v>
      </c>
      <c r="M34" s="287">
        <v>0</v>
      </c>
      <c r="N34" s="287">
        <v>0</v>
      </c>
      <c r="O34" s="287">
        <v>0</v>
      </c>
      <c r="P34" s="287">
        <v>0</v>
      </c>
      <c r="Q34" s="287">
        <v>0</v>
      </c>
      <c r="R34" s="287">
        <v>0</v>
      </c>
      <c r="S34" s="287">
        <v>0</v>
      </c>
      <c r="T34" s="286">
        <f t="shared" si="1"/>
        <v>0</v>
      </c>
      <c r="U34" s="294">
        <f t="shared" si="2"/>
        <v>0.53996717000000005</v>
      </c>
    </row>
    <row r="35" spans="1:21" ht="31.5" x14ac:dyDescent="0.25">
      <c r="A35" s="73" t="s">
        <v>60</v>
      </c>
      <c r="B35" s="72" t="s">
        <v>158</v>
      </c>
      <c r="C35" s="286">
        <v>0</v>
      </c>
      <c r="D35" s="286">
        <v>0</v>
      </c>
      <c r="E35" s="290">
        <v>0</v>
      </c>
      <c r="F35" s="290">
        <v>0</v>
      </c>
      <c r="G35" s="286">
        <v>0</v>
      </c>
      <c r="H35" s="286">
        <v>0</v>
      </c>
      <c r="I35" s="286">
        <v>0</v>
      </c>
      <c r="J35" s="286">
        <v>0</v>
      </c>
      <c r="K35" s="286">
        <v>0</v>
      </c>
      <c r="L35" s="286">
        <v>0</v>
      </c>
      <c r="M35" s="286">
        <v>0</v>
      </c>
      <c r="N35" s="291">
        <v>0</v>
      </c>
      <c r="O35" s="286">
        <v>0</v>
      </c>
      <c r="P35" s="286">
        <v>0</v>
      </c>
      <c r="Q35" s="286">
        <v>0</v>
      </c>
      <c r="R35" s="286">
        <v>0</v>
      </c>
      <c r="S35" s="286">
        <v>0</v>
      </c>
      <c r="T35" s="286">
        <f t="shared" si="1"/>
        <v>0</v>
      </c>
      <c r="U35" s="294">
        <f t="shared" si="2"/>
        <v>0</v>
      </c>
    </row>
    <row r="36" spans="1:21" ht="31.5" x14ac:dyDescent="0.25">
      <c r="A36" s="70" t="s">
        <v>157</v>
      </c>
      <c r="B36" s="69" t="s">
        <v>156</v>
      </c>
      <c r="C36" s="292">
        <v>0</v>
      </c>
      <c r="D36" s="286">
        <v>0</v>
      </c>
      <c r="E36" s="287">
        <v>0</v>
      </c>
      <c r="F36" s="287">
        <v>0</v>
      </c>
      <c r="G36" s="287">
        <v>0</v>
      </c>
      <c r="H36" s="287">
        <v>0</v>
      </c>
      <c r="I36" s="287">
        <v>0</v>
      </c>
      <c r="J36" s="287">
        <v>0</v>
      </c>
      <c r="K36" s="287">
        <v>0</v>
      </c>
      <c r="L36" s="287">
        <v>0</v>
      </c>
      <c r="M36" s="287">
        <v>0</v>
      </c>
      <c r="N36" s="287">
        <v>0</v>
      </c>
      <c r="O36" s="287">
        <v>0</v>
      </c>
      <c r="P36" s="287">
        <v>0</v>
      </c>
      <c r="Q36" s="287">
        <v>0</v>
      </c>
      <c r="R36" s="287">
        <v>0</v>
      </c>
      <c r="S36" s="287">
        <v>0</v>
      </c>
      <c r="T36" s="286">
        <f t="shared" si="1"/>
        <v>0</v>
      </c>
      <c r="U36" s="294">
        <f t="shared" si="2"/>
        <v>0</v>
      </c>
    </row>
    <row r="37" spans="1:21" x14ac:dyDescent="0.25">
      <c r="A37" s="70" t="s">
        <v>155</v>
      </c>
      <c r="B37" s="69" t="s">
        <v>145</v>
      </c>
      <c r="C37" s="292">
        <v>0</v>
      </c>
      <c r="D37" s="286">
        <v>0</v>
      </c>
      <c r="E37" s="287">
        <v>0</v>
      </c>
      <c r="F37" s="287">
        <v>0</v>
      </c>
      <c r="G37" s="287">
        <v>0</v>
      </c>
      <c r="H37" s="287">
        <v>0</v>
      </c>
      <c r="I37" s="287">
        <v>0</v>
      </c>
      <c r="J37" s="287">
        <v>2</v>
      </c>
      <c r="K37" s="287">
        <v>0</v>
      </c>
      <c r="L37" s="287">
        <v>0</v>
      </c>
      <c r="M37" s="287">
        <v>0</v>
      </c>
      <c r="N37" s="289">
        <v>0</v>
      </c>
      <c r="O37" s="287">
        <v>0</v>
      </c>
      <c r="P37" s="287">
        <v>0</v>
      </c>
      <c r="Q37" s="287">
        <v>0</v>
      </c>
      <c r="R37" s="287">
        <v>0</v>
      </c>
      <c r="S37" s="287">
        <v>0</v>
      </c>
      <c r="T37" s="286">
        <f t="shared" si="1"/>
        <v>0</v>
      </c>
      <c r="U37" s="294">
        <f t="shared" si="2"/>
        <v>2</v>
      </c>
    </row>
    <row r="38" spans="1:21" x14ac:dyDescent="0.25">
      <c r="A38" s="70" t="s">
        <v>154</v>
      </c>
      <c r="B38" s="69" t="s">
        <v>143</v>
      </c>
      <c r="C38" s="292">
        <v>0</v>
      </c>
      <c r="D38" s="286">
        <v>0</v>
      </c>
      <c r="E38" s="287">
        <v>0</v>
      </c>
      <c r="F38" s="287">
        <v>0</v>
      </c>
      <c r="G38" s="287">
        <v>0</v>
      </c>
      <c r="H38" s="287">
        <v>0</v>
      </c>
      <c r="I38" s="287">
        <v>0</v>
      </c>
      <c r="J38" s="287">
        <v>0</v>
      </c>
      <c r="K38" s="287">
        <v>0</v>
      </c>
      <c r="L38" s="287">
        <v>0</v>
      </c>
      <c r="M38" s="287">
        <v>0</v>
      </c>
      <c r="N38" s="287">
        <v>0</v>
      </c>
      <c r="O38" s="287">
        <v>0</v>
      </c>
      <c r="P38" s="287">
        <v>0</v>
      </c>
      <c r="Q38" s="287">
        <v>0</v>
      </c>
      <c r="R38" s="287">
        <v>0</v>
      </c>
      <c r="S38" s="287">
        <v>0</v>
      </c>
      <c r="T38" s="286">
        <f t="shared" si="1"/>
        <v>0</v>
      </c>
      <c r="U38" s="294">
        <f t="shared" si="2"/>
        <v>0</v>
      </c>
    </row>
    <row r="39" spans="1:21" ht="31.5" x14ac:dyDescent="0.25">
      <c r="A39" s="70" t="s">
        <v>153</v>
      </c>
      <c r="B39" s="43" t="s">
        <v>141</v>
      </c>
      <c r="C39" s="286">
        <v>0</v>
      </c>
      <c r="D39" s="286">
        <v>0</v>
      </c>
      <c r="E39" s="287">
        <v>0</v>
      </c>
      <c r="F39" s="287">
        <v>0</v>
      </c>
      <c r="G39" s="287">
        <v>0</v>
      </c>
      <c r="H39" s="287">
        <v>0</v>
      </c>
      <c r="I39" s="287">
        <v>0</v>
      </c>
      <c r="J39" s="287">
        <v>0</v>
      </c>
      <c r="K39" s="287">
        <v>0</v>
      </c>
      <c r="L39" s="287">
        <v>0</v>
      </c>
      <c r="M39" s="287">
        <v>0</v>
      </c>
      <c r="N39" s="287">
        <v>0</v>
      </c>
      <c r="O39" s="287">
        <v>0</v>
      </c>
      <c r="P39" s="287">
        <v>0</v>
      </c>
      <c r="Q39" s="287">
        <v>0</v>
      </c>
      <c r="R39" s="287">
        <v>0</v>
      </c>
      <c r="S39" s="287">
        <v>0</v>
      </c>
      <c r="T39" s="286">
        <f t="shared" si="1"/>
        <v>0</v>
      </c>
      <c r="U39" s="294">
        <f t="shared" si="2"/>
        <v>0</v>
      </c>
    </row>
    <row r="40" spans="1:21" ht="31.5" x14ac:dyDescent="0.25">
      <c r="A40" s="70" t="s">
        <v>152</v>
      </c>
      <c r="B40" s="43" t="s">
        <v>139</v>
      </c>
      <c r="C40" s="286">
        <v>0</v>
      </c>
      <c r="D40" s="286">
        <v>0</v>
      </c>
      <c r="E40" s="287">
        <v>0</v>
      </c>
      <c r="F40" s="287">
        <v>0</v>
      </c>
      <c r="G40" s="287">
        <v>0</v>
      </c>
      <c r="H40" s="287">
        <v>0</v>
      </c>
      <c r="I40" s="287">
        <v>0</v>
      </c>
      <c r="J40" s="287">
        <v>0</v>
      </c>
      <c r="K40" s="287">
        <v>0</v>
      </c>
      <c r="L40" s="287">
        <v>0</v>
      </c>
      <c r="M40" s="287">
        <v>0</v>
      </c>
      <c r="N40" s="287">
        <v>0</v>
      </c>
      <c r="O40" s="287">
        <v>0</v>
      </c>
      <c r="P40" s="287">
        <v>0</v>
      </c>
      <c r="Q40" s="287">
        <v>0</v>
      </c>
      <c r="R40" s="287">
        <v>0</v>
      </c>
      <c r="S40" s="287">
        <v>0</v>
      </c>
      <c r="T40" s="286">
        <f t="shared" si="1"/>
        <v>0</v>
      </c>
      <c r="U40" s="294">
        <f t="shared" si="2"/>
        <v>0</v>
      </c>
    </row>
    <row r="41" spans="1:21" x14ac:dyDescent="0.25">
      <c r="A41" s="70" t="s">
        <v>151</v>
      </c>
      <c r="B41" s="43" t="s">
        <v>137</v>
      </c>
      <c r="C41" s="286">
        <v>0</v>
      </c>
      <c r="D41" s="286">
        <v>0</v>
      </c>
      <c r="E41" s="287">
        <v>0</v>
      </c>
      <c r="F41" s="287">
        <v>0</v>
      </c>
      <c r="G41" s="287">
        <v>0</v>
      </c>
      <c r="H41" s="287">
        <v>0</v>
      </c>
      <c r="I41" s="287">
        <v>0</v>
      </c>
      <c r="J41" s="287">
        <v>0</v>
      </c>
      <c r="K41" s="287">
        <v>0</v>
      </c>
      <c r="L41" s="287">
        <v>0</v>
      </c>
      <c r="M41" s="287">
        <v>0</v>
      </c>
      <c r="N41" s="287">
        <v>0</v>
      </c>
      <c r="O41" s="287">
        <v>0</v>
      </c>
      <c r="P41" s="287">
        <v>0</v>
      </c>
      <c r="Q41" s="287">
        <v>0</v>
      </c>
      <c r="R41" s="287">
        <v>0</v>
      </c>
      <c r="S41" s="287">
        <v>0</v>
      </c>
      <c r="T41" s="286">
        <f t="shared" si="1"/>
        <v>0</v>
      </c>
      <c r="U41" s="294">
        <f t="shared" si="2"/>
        <v>0</v>
      </c>
    </row>
    <row r="42" spans="1:21" x14ac:dyDescent="0.25">
      <c r="A42" s="70" t="s">
        <v>150</v>
      </c>
      <c r="B42" s="69" t="str">
        <f>B50</f>
        <v>другое, шт.3)</v>
      </c>
      <c r="C42" s="292">
        <v>0</v>
      </c>
      <c r="D42" s="286">
        <v>0</v>
      </c>
      <c r="E42" s="287">
        <v>0</v>
      </c>
      <c r="F42" s="287">
        <v>0</v>
      </c>
      <c r="G42" s="287">
        <v>0</v>
      </c>
      <c r="H42" s="287">
        <v>0</v>
      </c>
      <c r="I42" s="287">
        <v>0</v>
      </c>
      <c r="J42" s="287">
        <v>0</v>
      </c>
      <c r="K42" s="287">
        <v>0</v>
      </c>
      <c r="L42" s="287">
        <v>0</v>
      </c>
      <c r="M42" s="287">
        <v>0</v>
      </c>
      <c r="N42" s="287">
        <v>0</v>
      </c>
      <c r="O42" s="287">
        <v>0</v>
      </c>
      <c r="P42" s="287">
        <v>0</v>
      </c>
      <c r="Q42" s="287">
        <v>0</v>
      </c>
      <c r="R42" s="287">
        <v>0</v>
      </c>
      <c r="S42" s="287">
        <v>0</v>
      </c>
      <c r="T42" s="286">
        <f t="shared" si="1"/>
        <v>0</v>
      </c>
      <c r="U42" s="294">
        <f t="shared" si="2"/>
        <v>0</v>
      </c>
    </row>
    <row r="43" spans="1:21" x14ac:dyDescent="0.25">
      <c r="A43" s="73" t="s">
        <v>59</v>
      </c>
      <c r="B43" s="72" t="s">
        <v>149</v>
      </c>
      <c r="C43" s="286">
        <v>0</v>
      </c>
      <c r="D43" s="286">
        <v>0</v>
      </c>
      <c r="E43" s="290">
        <v>0</v>
      </c>
      <c r="F43" s="290">
        <v>0</v>
      </c>
      <c r="G43" s="286">
        <v>0</v>
      </c>
      <c r="H43" s="286">
        <v>0</v>
      </c>
      <c r="I43" s="286">
        <v>0</v>
      </c>
      <c r="J43" s="286">
        <v>0</v>
      </c>
      <c r="K43" s="286">
        <v>0</v>
      </c>
      <c r="L43" s="286">
        <v>0</v>
      </c>
      <c r="M43" s="286">
        <v>0</v>
      </c>
      <c r="N43" s="291">
        <v>0</v>
      </c>
      <c r="O43" s="286">
        <v>0</v>
      </c>
      <c r="P43" s="286">
        <v>0</v>
      </c>
      <c r="Q43" s="286">
        <v>0</v>
      </c>
      <c r="R43" s="286">
        <v>0</v>
      </c>
      <c r="S43" s="286">
        <v>0</v>
      </c>
      <c r="T43" s="286">
        <f t="shared" si="1"/>
        <v>0</v>
      </c>
      <c r="U43" s="294">
        <f t="shared" si="2"/>
        <v>0</v>
      </c>
    </row>
    <row r="44" spans="1:21" x14ac:dyDescent="0.25">
      <c r="A44" s="70" t="s">
        <v>148</v>
      </c>
      <c r="B44" s="43" t="s">
        <v>147</v>
      </c>
      <c r="C44" s="286">
        <v>0</v>
      </c>
      <c r="D44" s="286">
        <v>0</v>
      </c>
      <c r="E44" s="287">
        <v>0</v>
      </c>
      <c r="F44" s="287">
        <v>0</v>
      </c>
      <c r="G44" s="287">
        <v>0</v>
      </c>
      <c r="H44" s="287">
        <v>0</v>
      </c>
      <c r="I44" s="287">
        <v>0</v>
      </c>
      <c r="J44" s="287">
        <v>0</v>
      </c>
      <c r="K44" s="287">
        <v>0</v>
      </c>
      <c r="L44" s="287">
        <v>0</v>
      </c>
      <c r="M44" s="287">
        <v>0</v>
      </c>
      <c r="N44" s="287">
        <v>0</v>
      </c>
      <c r="O44" s="287">
        <v>0</v>
      </c>
      <c r="P44" s="287">
        <v>0</v>
      </c>
      <c r="Q44" s="287">
        <v>0</v>
      </c>
      <c r="R44" s="287">
        <v>0</v>
      </c>
      <c r="S44" s="287">
        <v>0</v>
      </c>
      <c r="T44" s="286">
        <f t="shared" si="1"/>
        <v>0</v>
      </c>
      <c r="U44" s="294">
        <f t="shared" si="2"/>
        <v>0</v>
      </c>
    </row>
    <row r="45" spans="1:21" x14ac:dyDescent="0.25">
      <c r="A45" s="70" t="s">
        <v>146</v>
      </c>
      <c r="B45" s="43" t="s">
        <v>145</v>
      </c>
      <c r="C45" s="286">
        <v>0</v>
      </c>
      <c r="D45" s="286">
        <v>0</v>
      </c>
      <c r="E45" s="287">
        <v>0</v>
      </c>
      <c r="F45" s="287">
        <v>0</v>
      </c>
      <c r="G45" s="287">
        <v>0</v>
      </c>
      <c r="H45" s="287">
        <v>0</v>
      </c>
      <c r="I45" s="287">
        <v>0</v>
      </c>
      <c r="J45" s="287">
        <f>J37</f>
        <v>2</v>
      </c>
      <c r="K45" s="287">
        <v>0</v>
      </c>
      <c r="L45" s="287">
        <v>0</v>
      </c>
      <c r="M45" s="287">
        <v>0</v>
      </c>
      <c r="N45" s="289">
        <v>0</v>
      </c>
      <c r="O45" s="287">
        <v>0</v>
      </c>
      <c r="P45" s="287">
        <v>0</v>
      </c>
      <c r="Q45" s="287">
        <v>0</v>
      </c>
      <c r="R45" s="287">
        <v>0</v>
      </c>
      <c r="S45" s="287">
        <v>0</v>
      </c>
      <c r="T45" s="286">
        <f t="shared" si="1"/>
        <v>0</v>
      </c>
      <c r="U45" s="294">
        <f t="shared" si="2"/>
        <v>2</v>
      </c>
    </row>
    <row r="46" spans="1:21" x14ac:dyDescent="0.25">
      <c r="A46" s="70" t="s">
        <v>144</v>
      </c>
      <c r="B46" s="43" t="s">
        <v>143</v>
      </c>
      <c r="C46" s="286">
        <v>0</v>
      </c>
      <c r="D46" s="286">
        <v>0</v>
      </c>
      <c r="E46" s="287">
        <v>0</v>
      </c>
      <c r="F46" s="287">
        <v>0</v>
      </c>
      <c r="G46" s="287">
        <v>0</v>
      </c>
      <c r="H46" s="287">
        <v>0</v>
      </c>
      <c r="I46" s="287">
        <v>0</v>
      </c>
      <c r="J46" s="287">
        <v>0</v>
      </c>
      <c r="K46" s="287">
        <v>0</v>
      </c>
      <c r="L46" s="287">
        <v>0</v>
      </c>
      <c r="M46" s="287">
        <v>0</v>
      </c>
      <c r="N46" s="287">
        <v>0</v>
      </c>
      <c r="O46" s="287">
        <v>0</v>
      </c>
      <c r="P46" s="287">
        <v>0</v>
      </c>
      <c r="Q46" s="287">
        <v>0</v>
      </c>
      <c r="R46" s="287">
        <v>0</v>
      </c>
      <c r="S46" s="287">
        <v>0</v>
      </c>
      <c r="T46" s="286">
        <f t="shared" si="1"/>
        <v>0</v>
      </c>
      <c r="U46" s="294">
        <f t="shared" si="2"/>
        <v>0</v>
      </c>
    </row>
    <row r="47" spans="1:21" ht="31.5" x14ac:dyDescent="0.25">
      <c r="A47" s="70" t="s">
        <v>142</v>
      </c>
      <c r="B47" s="43" t="s">
        <v>141</v>
      </c>
      <c r="C47" s="286">
        <v>0</v>
      </c>
      <c r="D47" s="286">
        <v>0</v>
      </c>
      <c r="E47" s="287">
        <v>0</v>
      </c>
      <c r="F47" s="287">
        <v>0</v>
      </c>
      <c r="G47" s="287">
        <v>0</v>
      </c>
      <c r="H47" s="287">
        <v>0</v>
      </c>
      <c r="I47" s="287">
        <v>0</v>
      </c>
      <c r="J47" s="287">
        <v>0</v>
      </c>
      <c r="K47" s="287">
        <v>0</v>
      </c>
      <c r="L47" s="287">
        <v>0</v>
      </c>
      <c r="M47" s="287">
        <v>0</v>
      </c>
      <c r="N47" s="287">
        <v>0</v>
      </c>
      <c r="O47" s="287">
        <v>0</v>
      </c>
      <c r="P47" s="287">
        <v>0</v>
      </c>
      <c r="Q47" s="287">
        <v>0</v>
      </c>
      <c r="R47" s="287">
        <v>0</v>
      </c>
      <c r="S47" s="287">
        <v>0</v>
      </c>
      <c r="T47" s="286">
        <f t="shared" si="1"/>
        <v>0</v>
      </c>
      <c r="U47" s="294">
        <f t="shared" si="2"/>
        <v>0</v>
      </c>
    </row>
    <row r="48" spans="1:21" ht="31.5" x14ac:dyDescent="0.25">
      <c r="A48" s="70" t="s">
        <v>140</v>
      </c>
      <c r="B48" s="43" t="s">
        <v>139</v>
      </c>
      <c r="C48" s="286">
        <v>0</v>
      </c>
      <c r="D48" s="286">
        <v>0</v>
      </c>
      <c r="E48" s="287">
        <v>0</v>
      </c>
      <c r="F48" s="287">
        <v>0</v>
      </c>
      <c r="G48" s="287">
        <v>0</v>
      </c>
      <c r="H48" s="287">
        <v>0</v>
      </c>
      <c r="I48" s="287">
        <v>0</v>
      </c>
      <c r="J48" s="287">
        <v>0</v>
      </c>
      <c r="K48" s="287">
        <v>0</v>
      </c>
      <c r="L48" s="287">
        <v>0</v>
      </c>
      <c r="M48" s="287">
        <v>0</v>
      </c>
      <c r="N48" s="287">
        <v>0</v>
      </c>
      <c r="O48" s="287">
        <v>0</v>
      </c>
      <c r="P48" s="287">
        <v>0</v>
      </c>
      <c r="Q48" s="287">
        <v>0</v>
      </c>
      <c r="R48" s="287">
        <v>0</v>
      </c>
      <c r="S48" s="287">
        <v>0</v>
      </c>
      <c r="T48" s="286">
        <f t="shared" si="1"/>
        <v>0</v>
      </c>
      <c r="U48" s="294">
        <f t="shared" si="2"/>
        <v>0</v>
      </c>
    </row>
    <row r="49" spans="1:23" x14ac:dyDescent="0.25">
      <c r="A49" s="70" t="s">
        <v>138</v>
      </c>
      <c r="B49" s="43" t="s">
        <v>137</v>
      </c>
      <c r="C49" s="286">
        <v>0</v>
      </c>
      <c r="D49" s="286">
        <v>0</v>
      </c>
      <c r="E49" s="287">
        <v>0</v>
      </c>
      <c r="F49" s="287">
        <v>0</v>
      </c>
      <c r="G49" s="287">
        <v>0</v>
      </c>
      <c r="H49" s="287">
        <v>0</v>
      </c>
      <c r="I49" s="287">
        <v>0</v>
      </c>
      <c r="J49" s="287">
        <v>0</v>
      </c>
      <c r="K49" s="287">
        <v>0</v>
      </c>
      <c r="L49" s="287">
        <v>0</v>
      </c>
      <c r="M49" s="287">
        <v>0</v>
      </c>
      <c r="N49" s="287">
        <v>0</v>
      </c>
      <c r="O49" s="287">
        <v>0</v>
      </c>
      <c r="P49" s="287">
        <v>0</v>
      </c>
      <c r="Q49" s="287">
        <v>0</v>
      </c>
      <c r="R49" s="287">
        <v>0</v>
      </c>
      <c r="S49" s="287">
        <v>0</v>
      </c>
      <c r="T49" s="286">
        <f t="shared" si="1"/>
        <v>0</v>
      </c>
      <c r="U49" s="294">
        <f t="shared" si="2"/>
        <v>0</v>
      </c>
    </row>
    <row r="50" spans="1:23" x14ac:dyDescent="0.25">
      <c r="A50" s="70" t="s">
        <v>136</v>
      </c>
      <c r="B50" s="69" t="str">
        <f>B57</f>
        <v>другое, шт.3)</v>
      </c>
      <c r="C50" s="292">
        <v>0</v>
      </c>
      <c r="D50" s="286">
        <v>0</v>
      </c>
      <c r="E50" s="287">
        <v>0</v>
      </c>
      <c r="F50" s="287">
        <v>0</v>
      </c>
      <c r="G50" s="287">
        <v>0</v>
      </c>
      <c r="H50" s="287">
        <v>0</v>
      </c>
      <c r="I50" s="287">
        <v>0</v>
      </c>
      <c r="J50" s="287">
        <v>0</v>
      </c>
      <c r="K50" s="287">
        <v>0</v>
      </c>
      <c r="L50" s="287">
        <v>0</v>
      </c>
      <c r="M50" s="287">
        <v>0</v>
      </c>
      <c r="N50" s="287">
        <v>0</v>
      </c>
      <c r="O50" s="287">
        <v>0</v>
      </c>
      <c r="P50" s="287">
        <v>0</v>
      </c>
      <c r="Q50" s="287">
        <v>0</v>
      </c>
      <c r="R50" s="287">
        <v>0</v>
      </c>
      <c r="S50" s="287">
        <v>0</v>
      </c>
      <c r="T50" s="286">
        <f t="shared" si="1"/>
        <v>0</v>
      </c>
      <c r="U50" s="294">
        <f t="shared" si="2"/>
        <v>0</v>
      </c>
    </row>
    <row r="51" spans="1:23" ht="35.25" customHeight="1" x14ac:dyDescent="0.25">
      <c r="A51" s="73" t="s">
        <v>57</v>
      </c>
      <c r="B51" s="72" t="s">
        <v>135</v>
      </c>
      <c r="C51" s="286">
        <v>0</v>
      </c>
      <c r="D51" s="286">
        <v>0</v>
      </c>
      <c r="E51" s="290">
        <v>0</v>
      </c>
      <c r="F51" s="290">
        <v>0</v>
      </c>
      <c r="G51" s="286">
        <v>0</v>
      </c>
      <c r="H51" s="286">
        <v>0</v>
      </c>
      <c r="I51" s="286">
        <v>0</v>
      </c>
      <c r="J51" s="286">
        <v>0</v>
      </c>
      <c r="K51" s="286">
        <v>0</v>
      </c>
      <c r="L51" s="286">
        <v>0</v>
      </c>
      <c r="M51" s="286">
        <v>0</v>
      </c>
      <c r="N51" s="291">
        <v>0</v>
      </c>
      <c r="O51" s="286">
        <v>0</v>
      </c>
      <c r="P51" s="286">
        <v>0</v>
      </c>
      <c r="Q51" s="286">
        <v>0</v>
      </c>
      <c r="R51" s="286">
        <v>0</v>
      </c>
      <c r="S51" s="286">
        <v>0</v>
      </c>
      <c r="T51" s="286">
        <f t="shared" si="1"/>
        <v>0</v>
      </c>
      <c r="U51" s="294">
        <f t="shared" si="2"/>
        <v>0</v>
      </c>
    </row>
    <row r="52" spans="1:23" x14ac:dyDescent="0.25">
      <c r="A52" s="70" t="s">
        <v>134</v>
      </c>
      <c r="B52" s="43" t="s">
        <v>133</v>
      </c>
      <c r="C52" s="286">
        <v>0</v>
      </c>
      <c r="D52" s="286">
        <v>0</v>
      </c>
      <c r="E52" s="287">
        <v>0</v>
      </c>
      <c r="F52" s="287">
        <v>0</v>
      </c>
      <c r="G52" s="287">
        <v>0</v>
      </c>
      <c r="H52" s="287">
        <v>0</v>
      </c>
      <c r="I52" s="287">
        <v>0</v>
      </c>
      <c r="J52" s="287">
        <v>3.0868936200000001</v>
      </c>
      <c r="K52" s="287">
        <v>0</v>
      </c>
      <c r="L52" s="287">
        <v>0</v>
      </c>
      <c r="M52" s="287">
        <v>0</v>
      </c>
      <c r="N52" s="287">
        <v>0</v>
      </c>
      <c r="O52" s="287">
        <v>0</v>
      </c>
      <c r="P52" s="287">
        <v>0</v>
      </c>
      <c r="Q52" s="287">
        <v>0</v>
      </c>
      <c r="R52" s="287">
        <v>0</v>
      </c>
      <c r="S52" s="287">
        <v>0</v>
      </c>
      <c r="T52" s="286">
        <f t="shared" si="1"/>
        <v>0</v>
      </c>
      <c r="U52" s="294">
        <f t="shared" si="2"/>
        <v>3.0868936200000001</v>
      </c>
      <c r="W52" s="380">
        <f>G52+U52</f>
        <v>3.0868936200000001</v>
      </c>
    </row>
    <row r="53" spans="1:23" x14ac:dyDescent="0.25">
      <c r="A53" s="70" t="s">
        <v>132</v>
      </c>
      <c r="B53" s="43" t="s">
        <v>126</v>
      </c>
      <c r="C53" s="286">
        <v>0</v>
      </c>
      <c r="D53" s="286">
        <v>0</v>
      </c>
      <c r="E53" s="287">
        <v>0</v>
      </c>
      <c r="F53" s="287">
        <v>0</v>
      </c>
      <c r="G53" s="287">
        <v>0</v>
      </c>
      <c r="H53" s="287">
        <v>0</v>
      </c>
      <c r="I53" s="287">
        <v>0</v>
      </c>
      <c r="J53" s="287">
        <v>0</v>
      </c>
      <c r="K53" s="287">
        <v>0</v>
      </c>
      <c r="L53" s="287">
        <v>0</v>
      </c>
      <c r="M53" s="287">
        <v>0</v>
      </c>
      <c r="N53" s="289">
        <v>0</v>
      </c>
      <c r="O53" s="287">
        <v>0</v>
      </c>
      <c r="P53" s="287">
        <v>0</v>
      </c>
      <c r="Q53" s="287">
        <v>0</v>
      </c>
      <c r="R53" s="287">
        <v>0</v>
      </c>
      <c r="S53" s="287">
        <v>0</v>
      </c>
      <c r="T53" s="286">
        <f t="shared" si="1"/>
        <v>0</v>
      </c>
      <c r="U53" s="294">
        <f t="shared" si="2"/>
        <v>0</v>
      </c>
    </row>
    <row r="54" spans="1:23" x14ac:dyDescent="0.25">
      <c r="A54" s="70" t="s">
        <v>131</v>
      </c>
      <c r="B54" s="69" t="s">
        <v>125</v>
      </c>
      <c r="C54" s="292">
        <v>0</v>
      </c>
      <c r="D54" s="286">
        <v>0</v>
      </c>
      <c r="E54" s="287">
        <v>0</v>
      </c>
      <c r="F54" s="287">
        <v>0</v>
      </c>
      <c r="G54" s="287">
        <v>0</v>
      </c>
      <c r="H54" s="287">
        <v>0</v>
      </c>
      <c r="I54" s="287">
        <v>0</v>
      </c>
      <c r="J54" s="287">
        <f>J45</f>
        <v>2</v>
      </c>
      <c r="K54" s="287">
        <v>0</v>
      </c>
      <c r="L54" s="287">
        <v>0</v>
      </c>
      <c r="M54" s="287">
        <v>0</v>
      </c>
      <c r="N54" s="287">
        <v>0</v>
      </c>
      <c r="O54" s="287">
        <v>0</v>
      </c>
      <c r="P54" s="287">
        <v>0</v>
      </c>
      <c r="Q54" s="287">
        <v>0</v>
      </c>
      <c r="R54" s="287">
        <v>0</v>
      </c>
      <c r="S54" s="287">
        <v>0</v>
      </c>
      <c r="T54" s="286">
        <f t="shared" si="1"/>
        <v>0</v>
      </c>
      <c r="U54" s="294">
        <f t="shared" si="2"/>
        <v>2</v>
      </c>
    </row>
    <row r="55" spans="1:23" x14ac:dyDescent="0.25">
      <c r="A55" s="70" t="s">
        <v>130</v>
      </c>
      <c r="B55" s="69" t="s">
        <v>124</v>
      </c>
      <c r="C55" s="292">
        <v>0</v>
      </c>
      <c r="D55" s="286">
        <v>0</v>
      </c>
      <c r="E55" s="287">
        <v>0</v>
      </c>
      <c r="F55" s="287">
        <v>0</v>
      </c>
      <c r="G55" s="287">
        <v>0</v>
      </c>
      <c r="H55" s="287">
        <v>0</v>
      </c>
      <c r="I55" s="287">
        <v>0</v>
      </c>
      <c r="J55" s="287">
        <v>0</v>
      </c>
      <c r="K55" s="287">
        <v>0</v>
      </c>
      <c r="L55" s="287">
        <v>0</v>
      </c>
      <c r="M55" s="287">
        <v>0</v>
      </c>
      <c r="N55" s="287">
        <v>0</v>
      </c>
      <c r="O55" s="287">
        <v>0</v>
      </c>
      <c r="P55" s="287">
        <v>0</v>
      </c>
      <c r="Q55" s="287">
        <v>0</v>
      </c>
      <c r="R55" s="287">
        <v>0</v>
      </c>
      <c r="S55" s="287">
        <v>0</v>
      </c>
      <c r="T55" s="286">
        <f t="shared" si="1"/>
        <v>0</v>
      </c>
      <c r="U55" s="294">
        <f t="shared" si="2"/>
        <v>0</v>
      </c>
    </row>
    <row r="56" spans="1:23" x14ac:dyDescent="0.25">
      <c r="A56" s="70" t="s">
        <v>129</v>
      </c>
      <c r="B56" s="69" t="s">
        <v>123</v>
      </c>
      <c r="C56" s="292">
        <v>0</v>
      </c>
      <c r="D56" s="286">
        <v>0</v>
      </c>
      <c r="E56" s="287">
        <v>0</v>
      </c>
      <c r="F56" s="287">
        <v>0</v>
      </c>
      <c r="G56" s="287">
        <v>0</v>
      </c>
      <c r="H56" s="287">
        <v>0</v>
      </c>
      <c r="I56" s="287">
        <v>0</v>
      </c>
      <c r="J56" s="287">
        <v>0</v>
      </c>
      <c r="K56" s="287">
        <v>0</v>
      </c>
      <c r="L56" s="287">
        <v>0</v>
      </c>
      <c r="M56" s="287">
        <v>0</v>
      </c>
      <c r="N56" s="287">
        <v>0</v>
      </c>
      <c r="O56" s="287">
        <v>0</v>
      </c>
      <c r="P56" s="287">
        <v>0</v>
      </c>
      <c r="Q56" s="287">
        <v>0</v>
      </c>
      <c r="R56" s="287">
        <v>0</v>
      </c>
      <c r="S56" s="287">
        <v>0</v>
      </c>
      <c r="T56" s="286">
        <f t="shared" si="1"/>
        <v>0</v>
      </c>
      <c r="U56" s="294">
        <f t="shared" si="2"/>
        <v>0</v>
      </c>
    </row>
    <row r="57" spans="1:23" ht="18.75" x14ac:dyDescent="0.25">
      <c r="A57" s="70" t="s">
        <v>128</v>
      </c>
      <c r="B57" s="69" t="s">
        <v>712</v>
      </c>
      <c r="C57" s="292">
        <v>0</v>
      </c>
      <c r="D57" s="286">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6">
        <f t="shared" si="1"/>
        <v>0</v>
      </c>
      <c r="U57" s="294">
        <f t="shared" si="2"/>
        <v>0</v>
      </c>
    </row>
    <row r="58" spans="1:23" ht="36.75" customHeight="1" x14ac:dyDescent="0.25">
      <c r="A58" s="73" t="s">
        <v>56</v>
      </c>
      <c r="B58" s="93" t="s">
        <v>225</v>
      </c>
      <c r="C58" s="292">
        <v>0</v>
      </c>
      <c r="D58" s="286">
        <v>0</v>
      </c>
      <c r="E58" s="290">
        <v>0</v>
      </c>
      <c r="F58" s="290">
        <v>0</v>
      </c>
      <c r="G58" s="286">
        <v>0</v>
      </c>
      <c r="H58" s="286">
        <v>0</v>
      </c>
      <c r="I58" s="286">
        <v>0</v>
      </c>
      <c r="J58" s="286">
        <v>0</v>
      </c>
      <c r="K58" s="286">
        <v>0</v>
      </c>
      <c r="L58" s="286">
        <v>0</v>
      </c>
      <c r="M58" s="286">
        <v>0</v>
      </c>
      <c r="N58" s="291">
        <v>0</v>
      </c>
      <c r="O58" s="286">
        <v>0</v>
      </c>
      <c r="P58" s="286">
        <v>0</v>
      </c>
      <c r="Q58" s="286">
        <v>0</v>
      </c>
      <c r="R58" s="286">
        <v>0</v>
      </c>
      <c r="S58" s="286">
        <v>0</v>
      </c>
      <c r="T58" s="286">
        <f t="shared" si="1"/>
        <v>0</v>
      </c>
      <c r="U58" s="294">
        <f t="shared" si="2"/>
        <v>0</v>
      </c>
    </row>
    <row r="59" spans="1:23" x14ac:dyDescent="0.25">
      <c r="A59" s="73" t="s">
        <v>54</v>
      </c>
      <c r="B59" s="72" t="s">
        <v>127</v>
      </c>
      <c r="C59" s="286">
        <v>0</v>
      </c>
      <c r="D59" s="286">
        <v>0</v>
      </c>
      <c r="E59" s="290">
        <v>0</v>
      </c>
      <c r="F59" s="290">
        <v>0</v>
      </c>
      <c r="G59" s="286">
        <v>0</v>
      </c>
      <c r="H59" s="286">
        <v>0</v>
      </c>
      <c r="I59" s="286">
        <v>0</v>
      </c>
      <c r="J59" s="286">
        <v>0</v>
      </c>
      <c r="K59" s="286">
        <v>0</v>
      </c>
      <c r="L59" s="286">
        <v>0</v>
      </c>
      <c r="M59" s="286">
        <v>0</v>
      </c>
      <c r="N59" s="291">
        <v>0</v>
      </c>
      <c r="O59" s="286">
        <v>0</v>
      </c>
      <c r="P59" s="286">
        <v>0</v>
      </c>
      <c r="Q59" s="286">
        <v>0</v>
      </c>
      <c r="R59" s="286">
        <v>0</v>
      </c>
      <c r="S59" s="286">
        <v>0</v>
      </c>
      <c r="T59" s="286">
        <f t="shared" si="1"/>
        <v>0</v>
      </c>
      <c r="U59" s="294">
        <f t="shared" si="2"/>
        <v>0</v>
      </c>
    </row>
    <row r="60" spans="1:23" x14ac:dyDescent="0.25">
      <c r="A60" s="70" t="s">
        <v>219</v>
      </c>
      <c r="B60" s="71" t="s">
        <v>147</v>
      </c>
      <c r="C60" s="293">
        <v>0</v>
      </c>
      <c r="D60" s="286">
        <v>0</v>
      </c>
      <c r="E60" s="287">
        <v>0</v>
      </c>
      <c r="F60" s="287">
        <v>0</v>
      </c>
      <c r="G60" s="287">
        <v>0</v>
      </c>
      <c r="H60" s="287">
        <v>0</v>
      </c>
      <c r="I60" s="287">
        <v>0</v>
      </c>
      <c r="J60" s="287">
        <v>0</v>
      </c>
      <c r="K60" s="287">
        <v>0</v>
      </c>
      <c r="L60" s="287">
        <v>0</v>
      </c>
      <c r="M60" s="287">
        <v>0</v>
      </c>
      <c r="N60" s="287">
        <v>0</v>
      </c>
      <c r="O60" s="287">
        <v>0</v>
      </c>
      <c r="P60" s="287">
        <v>0</v>
      </c>
      <c r="Q60" s="287">
        <v>0</v>
      </c>
      <c r="R60" s="287">
        <v>0</v>
      </c>
      <c r="S60" s="287">
        <v>0</v>
      </c>
      <c r="T60" s="286">
        <f t="shared" si="1"/>
        <v>0</v>
      </c>
      <c r="U60" s="294">
        <f t="shared" si="2"/>
        <v>0</v>
      </c>
    </row>
    <row r="61" spans="1:23" x14ac:dyDescent="0.25">
      <c r="A61" s="70" t="s">
        <v>220</v>
      </c>
      <c r="B61" s="71" t="s">
        <v>145</v>
      </c>
      <c r="C61" s="293">
        <v>0</v>
      </c>
      <c r="D61" s="286">
        <v>0</v>
      </c>
      <c r="E61" s="287">
        <v>0</v>
      </c>
      <c r="F61" s="287">
        <v>0</v>
      </c>
      <c r="G61" s="287">
        <v>0</v>
      </c>
      <c r="H61" s="287">
        <v>0</v>
      </c>
      <c r="I61" s="287">
        <v>0</v>
      </c>
      <c r="J61" s="287">
        <v>0.5</v>
      </c>
      <c r="K61" s="287">
        <v>0</v>
      </c>
      <c r="L61" s="287">
        <v>0</v>
      </c>
      <c r="M61" s="287">
        <v>0</v>
      </c>
      <c r="N61" s="287">
        <v>0</v>
      </c>
      <c r="O61" s="287">
        <v>0</v>
      </c>
      <c r="P61" s="287">
        <v>0</v>
      </c>
      <c r="Q61" s="287">
        <v>0</v>
      </c>
      <c r="R61" s="287">
        <v>0</v>
      </c>
      <c r="S61" s="287">
        <v>0</v>
      </c>
      <c r="T61" s="286">
        <f t="shared" si="1"/>
        <v>0</v>
      </c>
      <c r="U61" s="294">
        <f t="shared" si="2"/>
        <v>0.5</v>
      </c>
    </row>
    <row r="62" spans="1:23" x14ac:dyDescent="0.25">
      <c r="A62" s="70" t="s">
        <v>221</v>
      </c>
      <c r="B62" s="71" t="s">
        <v>143</v>
      </c>
      <c r="C62" s="293">
        <v>0</v>
      </c>
      <c r="D62" s="286">
        <v>0</v>
      </c>
      <c r="E62" s="287">
        <v>0</v>
      </c>
      <c r="F62" s="287">
        <v>0</v>
      </c>
      <c r="G62" s="287">
        <v>0</v>
      </c>
      <c r="H62" s="287">
        <v>0</v>
      </c>
      <c r="I62" s="287">
        <v>0</v>
      </c>
      <c r="J62" s="287">
        <v>0</v>
      </c>
      <c r="K62" s="287">
        <v>0</v>
      </c>
      <c r="L62" s="287">
        <v>0</v>
      </c>
      <c r="M62" s="287">
        <v>0</v>
      </c>
      <c r="N62" s="287">
        <v>0</v>
      </c>
      <c r="O62" s="287">
        <v>0</v>
      </c>
      <c r="P62" s="287">
        <v>0</v>
      </c>
      <c r="Q62" s="287">
        <v>0</v>
      </c>
      <c r="R62" s="287">
        <v>0</v>
      </c>
      <c r="S62" s="287">
        <v>0</v>
      </c>
      <c r="T62" s="286">
        <f t="shared" si="1"/>
        <v>0</v>
      </c>
      <c r="U62" s="294">
        <f t="shared" si="2"/>
        <v>0</v>
      </c>
    </row>
    <row r="63" spans="1:23" x14ac:dyDescent="0.25">
      <c r="A63" s="70" t="s">
        <v>222</v>
      </c>
      <c r="B63" s="71" t="s">
        <v>224</v>
      </c>
      <c r="C63" s="293">
        <v>0</v>
      </c>
      <c r="D63" s="286">
        <v>0</v>
      </c>
      <c r="E63" s="287">
        <v>0</v>
      </c>
      <c r="F63" s="287">
        <v>0</v>
      </c>
      <c r="G63" s="287">
        <v>0</v>
      </c>
      <c r="H63" s="287">
        <v>0</v>
      </c>
      <c r="I63" s="287">
        <v>0</v>
      </c>
      <c r="J63" s="287">
        <v>0</v>
      </c>
      <c r="K63" s="287">
        <v>0</v>
      </c>
      <c r="L63" s="287">
        <v>0</v>
      </c>
      <c r="M63" s="287">
        <v>0</v>
      </c>
      <c r="N63" s="287">
        <v>0</v>
      </c>
      <c r="O63" s="287">
        <v>0</v>
      </c>
      <c r="P63" s="287">
        <v>0</v>
      </c>
      <c r="Q63" s="287">
        <v>0</v>
      </c>
      <c r="R63" s="287">
        <v>0</v>
      </c>
      <c r="S63" s="287">
        <v>0</v>
      </c>
      <c r="T63" s="286">
        <f t="shared" si="1"/>
        <v>0</v>
      </c>
      <c r="U63" s="294">
        <f t="shared" si="2"/>
        <v>0</v>
      </c>
    </row>
    <row r="64" spans="1:23" ht="18.75" x14ac:dyDescent="0.25">
      <c r="A64" s="70" t="s">
        <v>223</v>
      </c>
      <c r="B64" s="69" t="s">
        <v>122</v>
      </c>
      <c r="C64" s="292">
        <v>0</v>
      </c>
      <c r="D64" s="286">
        <v>0</v>
      </c>
      <c r="E64" s="287">
        <v>0</v>
      </c>
      <c r="F64" s="287">
        <v>0</v>
      </c>
      <c r="G64" s="287">
        <v>0</v>
      </c>
      <c r="H64" s="287">
        <v>0</v>
      </c>
      <c r="I64" s="287">
        <v>0</v>
      </c>
      <c r="J64" s="287">
        <v>0</v>
      </c>
      <c r="K64" s="287">
        <v>0</v>
      </c>
      <c r="L64" s="287">
        <v>0</v>
      </c>
      <c r="M64" s="287">
        <v>0</v>
      </c>
      <c r="N64" s="287">
        <v>0</v>
      </c>
      <c r="O64" s="287">
        <v>0</v>
      </c>
      <c r="P64" s="287">
        <v>0</v>
      </c>
      <c r="Q64" s="287">
        <v>0</v>
      </c>
      <c r="R64" s="287">
        <v>0</v>
      </c>
      <c r="S64" s="287">
        <v>0</v>
      </c>
      <c r="T64" s="286">
        <f t="shared" si="1"/>
        <v>0</v>
      </c>
      <c r="U64" s="294">
        <f t="shared" si="2"/>
        <v>0</v>
      </c>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484"/>
      <c r="C66" s="484"/>
      <c r="D66" s="484"/>
      <c r="E66" s="484"/>
      <c r="F66" s="484"/>
      <c r="G66" s="484"/>
      <c r="H66" s="484"/>
      <c r="I66" s="484"/>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485"/>
      <c r="C68" s="485"/>
      <c r="D68" s="485"/>
      <c r="E68" s="485"/>
      <c r="F68" s="485"/>
      <c r="G68" s="485"/>
      <c r="H68" s="485"/>
      <c r="I68" s="485"/>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484"/>
      <c r="C70" s="484"/>
      <c r="D70" s="484"/>
      <c r="E70" s="484"/>
      <c r="F70" s="484"/>
      <c r="G70" s="484"/>
      <c r="H70" s="484"/>
      <c r="I70" s="484"/>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484"/>
      <c r="C72" s="484"/>
      <c r="D72" s="484"/>
      <c r="E72" s="484"/>
      <c r="F72" s="484"/>
      <c r="G72" s="484"/>
      <c r="H72" s="484"/>
      <c r="I72" s="484"/>
      <c r="J72" s="61"/>
      <c r="K72" s="61"/>
      <c r="L72" s="57"/>
      <c r="M72" s="57"/>
      <c r="N72" s="63"/>
      <c r="O72" s="57"/>
      <c r="P72" s="57"/>
      <c r="Q72" s="57"/>
      <c r="R72" s="57"/>
      <c r="S72" s="57"/>
      <c r="T72" s="57"/>
    </row>
    <row r="73" spans="1:20" ht="32.25" customHeight="1" x14ac:dyDescent="0.25">
      <c r="A73" s="57"/>
      <c r="B73" s="485"/>
      <c r="C73" s="485"/>
      <c r="D73" s="485"/>
      <c r="E73" s="485"/>
      <c r="F73" s="485"/>
      <c r="G73" s="485"/>
      <c r="H73" s="485"/>
      <c r="I73" s="485"/>
      <c r="J73" s="62"/>
      <c r="K73" s="62"/>
      <c r="L73" s="57"/>
      <c r="M73" s="57"/>
      <c r="N73" s="57"/>
      <c r="O73" s="57"/>
      <c r="P73" s="57"/>
      <c r="Q73" s="57"/>
      <c r="R73" s="57"/>
      <c r="S73" s="57"/>
      <c r="T73" s="57"/>
    </row>
    <row r="74" spans="1:20" ht="51.75" customHeight="1" x14ac:dyDescent="0.25">
      <c r="A74" s="57"/>
      <c r="B74" s="484"/>
      <c r="C74" s="484"/>
      <c r="D74" s="484"/>
      <c r="E74" s="484"/>
      <c r="F74" s="484"/>
      <c r="G74" s="484"/>
      <c r="H74" s="484"/>
      <c r="I74" s="484"/>
      <c r="J74" s="61"/>
      <c r="K74" s="61"/>
      <c r="L74" s="57"/>
      <c r="M74" s="57"/>
      <c r="N74" s="57"/>
      <c r="O74" s="57"/>
      <c r="P74" s="57"/>
      <c r="Q74" s="57"/>
      <c r="R74" s="57"/>
      <c r="S74" s="57"/>
      <c r="T74" s="57"/>
    </row>
    <row r="75" spans="1:20" ht="21.75" customHeight="1" x14ac:dyDescent="0.25">
      <c r="A75" s="57"/>
      <c r="B75" s="482"/>
      <c r="C75" s="482"/>
      <c r="D75" s="482"/>
      <c r="E75" s="482"/>
      <c r="F75" s="482"/>
      <c r="G75" s="482"/>
      <c r="H75" s="482"/>
      <c r="I75" s="482"/>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483"/>
      <c r="C77" s="483"/>
      <c r="D77" s="483"/>
      <c r="E77" s="483"/>
      <c r="F77" s="483"/>
      <c r="G77" s="483"/>
      <c r="H77" s="483"/>
      <c r="I77" s="483"/>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K16"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92" t="str">
        <f>'1. паспорт местоположение'!A5:C5</f>
        <v>Год раскрытия информации: 2022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4"/>
    </row>
    <row r="7" spans="1:48" ht="18.75" x14ac:dyDescent="0.25">
      <c r="A7" s="401" t="s">
        <v>7</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x14ac:dyDescent="0.25">
      <c r="A12" s="402" t="str">
        <f>'1. паспорт местоположение'!A12:C12</f>
        <v>K_18-1115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406" t="s">
        <v>5</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406" t="s">
        <v>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1"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1" customFormat="1" x14ac:dyDescent="0.25">
      <c r="A21" s="509" t="s">
        <v>507</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1" customFormat="1" ht="58.5" customHeight="1" x14ac:dyDescent="0.25">
      <c r="A22" s="500" t="s">
        <v>50</v>
      </c>
      <c r="B22" s="511" t="s">
        <v>22</v>
      </c>
      <c r="C22" s="500" t="s">
        <v>49</v>
      </c>
      <c r="D22" s="500" t="s">
        <v>48</v>
      </c>
      <c r="E22" s="514" t="s">
        <v>518</v>
      </c>
      <c r="F22" s="515"/>
      <c r="G22" s="515"/>
      <c r="H22" s="515"/>
      <c r="I22" s="515"/>
      <c r="J22" s="515"/>
      <c r="K22" s="515"/>
      <c r="L22" s="516"/>
      <c r="M22" s="500" t="s">
        <v>47</v>
      </c>
      <c r="N22" s="500" t="s">
        <v>46</v>
      </c>
      <c r="O22" s="500" t="s">
        <v>45</v>
      </c>
      <c r="P22" s="495" t="s">
        <v>254</v>
      </c>
      <c r="Q22" s="495" t="s">
        <v>44</v>
      </c>
      <c r="R22" s="495" t="s">
        <v>43</v>
      </c>
      <c r="S22" s="495" t="s">
        <v>42</v>
      </c>
      <c r="T22" s="495"/>
      <c r="U22" s="517" t="s">
        <v>41</v>
      </c>
      <c r="V22" s="517" t="s">
        <v>40</v>
      </c>
      <c r="W22" s="495" t="s">
        <v>39</v>
      </c>
      <c r="X22" s="495" t="s">
        <v>38</v>
      </c>
      <c r="Y22" s="495" t="s">
        <v>37</v>
      </c>
      <c r="Z22" s="502"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503" t="s">
        <v>23</v>
      </c>
    </row>
    <row r="23" spans="1:48" s="21" customFormat="1" ht="64.5" customHeight="1" x14ac:dyDescent="0.25">
      <c r="A23" s="510"/>
      <c r="B23" s="512"/>
      <c r="C23" s="510"/>
      <c r="D23" s="510"/>
      <c r="E23" s="505" t="s">
        <v>21</v>
      </c>
      <c r="F23" s="496" t="s">
        <v>126</v>
      </c>
      <c r="G23" s="496" t="s">
        <v>125</v>
      </c>
      <c r="H23" s="496" t="s">
        <v>124</v>
      </c>
      <c r="I23" s="498" t="s">
        <v>428</v>
      </c>
      <c r="J23" s="498" t="s">
        <v>429</v>
      </c>
      <c r="K23" s="498" t="s">
        <v>430</v>
      </c>
      <c r="L23" s="496" t="s">
        <v>74</v>
      </c>
      <c r="M23" s="510"/>
      <c r="N23" s="510"/>
      <c r="O23" s="510"/>
      <c r="P23" s="495"/>
      <c r="Q23" s="495"/>
      <c r="R23" s="495"/>
      <c r="S23" s="507" t="s">
        <v>2</v>
      </c>
      <c r="T23" s="507" t="s">
        <v>9</v>
      </c>
      <c r="U23" s="517"/>
      <c r="V23" s="517"/>
      <c r="W23" s="495"/>
      <c r="X23" s="495"/>
      <c r="Y23" s="495"/>
      <c r="Z23" s="495"/>
      <c r="AA23" s="495"/>
      <c r="AB23" s="495"/>
      <c r="AC23" s="495"/>
      <c r="AD23" s="495"/>
      <c r="AE23" s="495"/>
      <c r="AF23" s="495" t="s">
        <v>20</v>
      </c>
      <c r="AG23" s="495"/>
      <c r="AH23" s="495" t="s">
        <v>19</v>
      </c>
      <c r="AI23" s="495"/>
      <c r="AJ23" s="500" t="s">
        <v>18</v>
      </c>
      <c r="AK23" s="500" t="s">
        <v>17</v>
      </c>
      <c r="AL23" s="500" t="s">
        <v>16</v>
      </c>
      <c r="AM23" s="500" t="s">
        <v>15</v>
      </c>
      <c r="AN23" s="500" t="s">
        <v>14</v>
      </c>
      <c r="AO23" s="500" t="s">
        <v>13</v>
      </c>
      <c r="AP23" s="500" t="s">
        <v>12</v>
      </c>
      <c r="AQ23" s="518" t="s">
        <v>9</v>
      </c>
      <c r="AR23" s="495"/>
      <c r="AS23" s="495"/>
      <c r="AT23" s="495"/>
      <c r="AU23" s="495"/>
      <c r="AV23" s="504"/>
    </row>
    <row r="24" spans="1:48" s="21"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44" t="s">
        <v>11</v>
      </c>
      <c r="AG24" s="144" t="s">
        <v>10</v>
      </c>
      <c r="AH24" s="145" t="s">
        <v>2</v>
      </c>
      <c r="AI24" s="145" t="s">
        <v>9</v>
      </c>
      <c r="AJ24" s="501"/>
      <c r="AK24" s="501"/>
      <c r="AL24" s="501"/>
      <c r="AM24" s="501"/>
      <c r="AN24" s="501"/>
      <c r="AO24" s="501"/>
      <c r="AP24" s="501"/>
      <c r="AQ24" s="519"/>
      <c r="AR24" s="495"/>
      <c r="AS24" s="495"/>
      <c r="AT24" s="495"/>
      <c r="AU24" s="495"/>
      <c r="AV24" s="50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7" customFormat="1" ht="45" x14ac:dyDescent="0.2">
      <c r="A26" s="352">
        <v>1</v>
      </c>
      <c r="B26" s="353" t="s">
        <v>528</v>
      </c>
      <c r="C26" s="353" t="s">
        <v>62</v>
      </c>
      <c r="D26" s="372">
        <f>'6.1. Паспорт сетевой график'!F53</f>
        <v>44286</v>
      </c>
      <c r="E26" s="354"/>
      <c r="F26" s="354"/>
      <c r="G26" s="354">
        <f>'3.1. паспорт Техсостояние ПС'!O25</f>
        <v>2</v>
      </c>
      <c r="H26" s="354"/>
      <c r="I26" s="354"/>
      <c r="J26" s="354"/>
      <c r="K26" s="354"/>
      <c r="L26" s="354"/>
      <c r="M26" s="353" t="s">
        <v>690</v>
      </c>
      <c r="N26" s="353" t="s">
        <v>685</v>
      </c>
      <c r="O26" s="353" t="s">
        <v>686</v>
      </c>
      <c r="P26" s="355">
        <v>254.96</v>
      </c>
      <c r="Q26" s="353" t="s">
        <v>664</v>
      </c>
      <c r="R26" s="355">
        <v>254.96</v>
      </c>
      <c r="S26" s="353" t="s">
        <v>665</v>
      </c>
      <c r="T26" s="353" t="s">
        <v>666</v>
      </c>
      <c r="U26" s="352" t="s">
        <v>61</v>
      </c>
      <c r="V26" s="352">
        <v>2</v>
      </c>
      <c r="W26" s="353" t="s">
        <v>687</v>
      </c>
      <c r="X26" s="355">
        <v>254</v>
      </c>
      <c r="Y26" s="353"/>
      <c r="Z26" s="356"/>
      <c r="AA26" s="355"/>
      <c r="AB26" s="355">
        <v>254</v>
      </c>
      <c r="AC26" s="355" t="s">
        <v>687</v>
      </c>
      <c r="AD26" s="355">
        <f>'8. Общие сведения'!B59*1000</f>
        <v>254</v>
      </c>
      <c r="AE26" s="355">
        <f>AD26</f>
        <v>254</v>
      </c>
      <c r="AF26" s="352" t="s">
        <v>688</v>
      </c>
      <c r="AG26" s="353" t="s">
        <v>667</v>
      </c>
      <c r="AH26" s="356">
        <v>43560</v>
      </c>
      <c r="AI26" s="356">
        <v>43560</v>
      </c>
      <c r="AJ26" s="356">
        <v>43572</v>
      </c>
      <c r="AK26" s="356">
        <v>43609</v>
      </c>
      <c r="AL26" s="353"/>
      <c r="AM26" s="353"/>
      <c r="AN26" s="356"/>
      <c r="AO26" s="353"/>
      <c r="AP26" s="356">
        <v>43616</v>
      </c>
      <c r="AQ26" s="356">
        <v>43616</v>
      </c>
      <c r="AR26" s="356">
        <v>43616</v>
      </c>
      <c r="AS26" s="356">
        <v>43616</v>
      </c>
      <c r="AT26" s="356">
        <v>43676</v>
      </c>
      <c r="AU26" s="353"/>
      <c r="AV26" s="353"/>
    </row>
    <row r="27" spans="1:48" s="357" customFormat="1" ht="22.5" x14ac:dyDescent="0.2">
      <c r="A27" s="352"/>
      <c r="B27" s="353"/>
      <c r="C27" s="353"/>
      <c r="D27" s="352"/>
      <c r="E27" s="354"/>
      <c r="F27" s="354"/>
      <c r="G27" s="354"/>
      <c r="H27" s="354"/>
      <c r="I27" s="354"/>
      <c r="J27" s="354"/>
      <c r="K27" s="354"/>
      <c r="L27" s="354"/>
      <c r="M27" s="353"/>
      <c r="N27" s="353"/>
      <c r="O27" s="353"/>
      <c r="P27" s="355"/>
      <c r="Q27" s="353"/>
      <c r="R27" s="355"/>
      <c r="S27" s="353"/>
      <c r="T27" s="353"/>
      <c r="U27" s="352"/>
      <c r="V27" s="352"/>
      <c r="W27" s="353" t="s">
        <v>689</v>
      </c>
      <c r="X27" s="355">
        <v>254.96</v>
      </c>
      <c r="Y27" s="353"/>
      <c r="Z27" s="356"/>
      <c r="AA27" s="355"/>
      <c r="AB27" s="355"/>
      <c r="AC27" s="355"/>
      <c r="AD27" s="355"/>
      <c r="AE27" s="355"/>
      <c r="AF27" s="352"/>
      <c r="AG27" s="353"/>
      <c r="AH27" s="356"/>
      <c r="AI27" s="356"/>
      <c r="AJ27" s="356"/>
      <c r="AK27" s="356"/>
      <c r="AL27" s="353"/>
      <c r="AM27" s="353"/>
      <c r="AN27" s="356"/>
      <c r="AO27" s="353"/>
      <c r="AP27" s="356"/>
      <c r="AQ27" s="356"/>
      <c r="AR27" s="356"/>
      <c r="AS27" s="356"/>
      <c r="AT27" s="356"/>
      <c r="AU27" s="353"/>
      <c r="AV27" s="353"/>
    </row>
    <row r="28" spans="1:48" s="357" customFormat="1" ht="45" x14ac:dyDescent="0.2">
      <c r="A28" s="352">
        <v>1</v>
      </c>
      <c r="B28" s="353" t="s">
        <v>528</v>
      </c>
      <c r="C28" s="353" t="s">
        <v>62</v>
      </c>
      <c r="D28" s="372">
        <f>D26</f>
        <v>44286</v>
      </c>
      <c r="E28" s="354"/>
      <c r="F28" s="354"/>
      <c r="G28" s="354">
        <f>G26</f>
        <v>2</v>
      </c>
      <c r="H28" s="354"/>
      <c r="I28" s="354"/>
      <c r="J28" s="354"/>
      <c r="K28" s="354"/>
      <c r="L28" s="354"/>
      <c r="M28" s="353" t="s">
        <v>663</v>
      </c>
      <c r="N28" s="353" t="s">
        <v>701</v>
      </c>
      <c r="O28" s="353" t="s">
        <v>686</v>
      </c>
      <c r="P28" s="355">
        <v>2801.1768900000002</v>
      </c>
      <c r="Q28" s="353" t="s">
        <v>702</v>
      </c>
      <c r="R28" s="355">
        <v>2801.1768900000002</v>
      </c>
      <c r="S28" s="353" t="s">
        <v>665</v>
      </c>
      <c r="T28" s="353" t="s">
        <v>666</v>
      </c>
      <c r="U28" s="352">
        <v>4</v>
      </c>
      <c r="V28" s="352">
        <v>4</v>
      </c>
      <c r="W28" s="353" t="s">
        <v>687</v>
      </c>
      <c r="X28" s="355">
        <v>2450</v>
      </c>
      <c r="Y28" s="353"/>
      <c r="Z28" s="356"/>
      <c r="AA28" s="355"/>
      <c r="AB28" s="355">
        <v>2450</v>
      </c>
      <c r="AC28" s="353" t="s">
        <v>687</v>
      </c>
      <c r="AD28" s="355">
        <f>'8. Общие сведения'!B32*1000</f>
        <v>2356.5136200000002</v>
      </c>
      <c r="AE28" s="355"/>
      <c r="AF28" s="352">
        <v>32109944813</v>
      </c>
      <c r="AG28" s="353" t="s">
        <v>707</v>
      </c>
      <c r="AH28" s="356">
        <v>44228</v>
      </c>
      <c r="AI28" s="356">
        <v>44228</v>
      </c>
      <c r="AJ28" s="356">
        <v>44236</v>
      </c>
      <c r="AK28" s="356">
        <v>44267</v>
      </c>
      <c r="AL28" s="353"/>
      <c r="AM28" s="353"/>
      <c r="AN28" s="356"/>
      <c r="AO28" s="353"/>
      <c r="AP28" s="356">
        <v>44280</v>
      </c>
      <c r="AQ28" s="356">
        <v>44280</v>
      </c>
      <c r="AR28" s="356">
        <v>44280</v>
      </c>
      <c r="AS28" s="356">
        <v>44280</v>
      </c>
      <c r="AT28" s="356">
        <v>44311</v>
      </c>
      <c r="AU28" s="353"/>
      <c r="AV28" s="353" t="s">
        <v>708</v>
      </c>
    </row>
    <row r="29" spans="1:48" s="357" customFormat="1" ht="22.5" x14ac:dyDescent="0.2">
      <c r="A29" s="352"/>
      <c r="B29" s="353"/>
      <c r="C29" s="353"/>
      <c r="D29" s="372"/>
      <c r="E29" s="354"/>
      <c r="F29" s="354"/>
      <c r="G29" s="354"/>
      <c r="H29" s="354"/>
      <c r="I29" s="354"/>
      <c r="J29" s="354"/>
      <c r="K29" s="354"/>
      <c r="L29" s="354"/>
      <c r="M29" s="353"/>
      <c r="N29" s="353"/>
      <c r="O29" s="353"/>
      <c r="P29" s="355"/>
      <c r="Q29" s="353"/>
      <c r="R29" s="355"/>
      <c r="S29" s="353"/>
      <c r="T29" s="353"/>
      <c r="U29" s="352"/>
      <c r="V29" s="352"/>
      <c r="W29" s="353" t="s">
        <v>705</v>
      </c>
      <c r="X29" s="355">
        <v>2800.3335000000002</v>
      </c>
      <c r="Y29" s="353"/>
      <c r="Z29" s="356"/>
      <c r="AA29" s="355"/>
      <c r="AB29" s="355"/>
      <c r="AC29" s="355"/>
      <c r="AD29" s="355"/>
      <c r="AE29" s="355"/>
      <c r="AF29" s="352"/>
      <c r="AG29" s="353"/>
      <c r="AH29" s="356"/>
      <c r="AI29" s="356"/>
      <c r="AJ29" s="356"/>
      <c r="AK29" s="356"/>
      <c r="AL29" s="353"/>
      <c r="AM29" s="353"/>
      <c r="AN29" s="356"/>
      <c r="AO29" s="353"/>
      <c r="AP29" s="356"/>
      <c r="AQ29" s="356"/>
      <c r="AR29" s="356"/>
      <c r="AS29" s="356"/>
      <c r="AT29" s="356"/>
      <c r="AU29" s="353"/>
      <c r="AV29" s="353"/>
    </row>
    <row r="30" spans="1:48" s="357" customFormat="1" ht="11.25" x14ac:dyDescent="0.2">
      <c r="A30" s="373"/>
      <c r="B30" s="374"/>
      <c r="C30" s="374"/>
      <c r="D30" s="375"/>
      <c r="E30" s="376"/>
      <c r="F30" s="376"/>
      <c r="G30" s="376"/>
      <c r="H30" s="376"/>
      <c r="I30" s="376"/>
      <c r="J30" s="376"/>
      <c r="K30" s="376"/>
      <c r="L30" s="376"/>
      <c r="M30" s="374"/>
      <c r="N30" s="374"/>
      <c r="O30" s="374"/>
      <c r="P30" s="377"/>
      <c r="Q30" s="374"/>
      <c r="R30" s="377"/>
      <c r="S30" s="374"/>
      <c r="T30" s="374"/>
      <c r="U30" s="373"/>
      <c r="V30" s="373"/>
      <c r="W30" s="353" t="s">
        <v>703</v>
      </c>
      <c r="X30" s="377">
        <v>2800.75855</v>
      </c>
      <c r="Y30" s="374"/>
      <c r="Z30" s="378"/>
      <c r="AA30" s="377"/>
      <c r="AB30" s="377"/>
      <c r="AC30" s="377"/>
      <c r="AD30" s="377"/>
      <c r="AE30" s="377"/>
      <c r="AF30" s="373"/>
      <c r="AG30" s="374"/>
      <c r="AH30" s="378"/>
      <c r="AI30" s="378"/>
      <c r="AJ30" s="378"/>
      <c r="AK30" s="378"/>
      <c r="AL30" s="374"/>
      <c r="AM30" s="374"/>
      <c r="AN30" s="378"/>
      <c r="AO30" s="374"/>
      <c r="AP30" s="378"/>
      <c r="AQ30" s="378"/>
      <c r="AR30" s="378"/>
      <c r="AS30" s="378"/>
      <c r="AT30" s="378"/>
      <c r="AU30" s="374"/>
      <c r="AV30" s="374"/>
    </row>
    <row r="31" spans="1:48" s="357" customFormat="1" ht="22.5" x14ac:dyDescent="0.2">
      <c r="A31" s="352"/>
      <c r="B31" s="353"/>
      <c r="C31" s="353"/>
      <c r="D31" s="372"/>
      <c r="E31" s="354"/>
      <c r="F31" s="354"/>
      <c r="G31" s="354"/>
      <c r="H31" s="354"/>
      <c r="I31" s="354"/>
      <c r="J31" s="354"/>
      <c r="K31" s="354"/>
      <c r="L31" s="354"/>
      <c r="M31" s="353"/>
      <c r="N31" s="353"/>
      <c r="O31" s="353"/>
      <c r="P31" s="355"/>
      <c r="Q31" s="353"/>
      <c r="R31" s="355"/>
      <c r="S31" s="353"/>
      <c r="T31" s="353"/>
      <c r="U31" s="352"/>
      <c r="V31" s="352"/>
      <c r="W31" s="374" t="s">
        <v>704</v>
      </c>
      <c r="X31" s="355">
        <v>2801.1768900000002</v>
      </c>
      <c r="Y31" s="353"/>
      <c r="Z31" s="356"/>
      <c r="AA31" s="355"/>
      <c r="AB31" s="355"/>
      <c r="AC31" s="355"/>
      <c r="AD31" s="355"/>
      <c r="AE31" s="355"/>
      <c r="AF31" s="352"/>
      <c r="AG31" s="353"/>
      <c r="AH31" s="356"/>
      <c r="AI31" s="356"/>
      <c r="AJ31" s="356"/>
      <c r="AK31" s="356"/>
      <c r="AL31" s="353"/>
      <c r="AM31" s="353"/>
      <c r="AN31" s="356"/>
      <c r="AO31" s="353"/>
      <c r="AP31" s="356"/>
      <c r="AQ31" s="356"/>
      <c r="AR31" s="356"/>
      <c r="AS31" s="356"/>
      <c r="AT31" s="356"/>
      <c r="AU31" s="353"/>
      <c r="AV31" s="353"/>
    </row>
    <row r="32" spans="1:48" x14ac:dyDescent="0.25">
      <c r="AD32" s="379">
        <f>SUM(AD26:AD31)</f>
        <v>2610.5136200000002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8"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2" zoomScale="80" zoomScaleNormal="90" zoomScaleSheetLayoutView="80" workbookViewId="0">
      <selection activeCell="B28" sqref="B28"/>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4" t="s">
        <v>66</v>
      </c>
    </row>
    <row r="2" spans="1:8" ht="18.75" x14ac:dyDescent="0.3">
      <c r="B2" s="14" t="s">
        <v>8</v>
      </c>
    </row>
    <row r="3" spans="1:8" ht="18.75" x14ac:dyDescent="0.3">
      <c r="B3" s="14" t="s">
        <v>526</v>
      </c>
    </row>
    <row r="4" spans="1:8" x14ac:dyDescent="0.25">
      <c r="B4" s="38"/>
    </row>
    <row r="5" spans="1:8" ht="18.75" x14ac:dyDescent="0.3">
      <c r="A5" s="527" t="str">
        <f>'7. Паспорт отчет о закупке'!A5:AV5</f>
        <v>Год раскрытия информации: 2022 год</v>
      </c>
      <c r="B5" s="527"/>
      <c r="C5" s="81"/>
      <c r="D5" s="81"/>
      <c r="E5" s="81"/>
      <c r="F5" s="81"/>
      <c r="G5" s="81"/>
      <c r="H5" s="81"/>
    </row>
    <row r="6" spans="1:8" ht="18.75" x14ac:dyDescent="0.3">
      <c r="A6" s="273"/>
      <c r="B6" s="273"/>
      <c r="C6" s="273"/>
      <c r="D6" s="273"/>
      <c r="E6" s="273"/>
      <c r="F6" s="273"/>
      <c r="G6" s="273"/>
      <c r="H6" s="273"/>
    </row>
    <row r="7" spans="1:8" ht="18.75" x14ac:dyDescent="0.25">
      <c r="A7" s="401" t="s">
        <v>7</v>
      </c>
      <c r="B7" s="401"/>
      <c r="C7" s="150"/>
      <c r="D7" s="150"/>
      <c r="E7" s="150"/>
      <c r="F7" s="150"/>
      <c r="G7" s="150"/>
      <c r="H7" s="150"/>
    </row>
    <row r="8" spans="1:8" ht="18.75" x14ac:dyDescent="0.25">
      <c r="A8" s="150"/>
      <c r="B8" s="150"/>
      <c r="C8" s="150"/>
      <c r="D8" s="150"/>
      <c r="E8" s="150"/>
      <c r="F8" s="150"/>
      <c r="G8" s="150"/>
      <c r="H8" s="150"/>
    </row>
    <row r="9" spans="1:8" x14ac:dyDescent="0.25">
      <c r="A9" s="402" t="str">
        <f>'1. паспорт местоположение'!A9:C9</f>
        <v>Акционерное общество "Янтарьэнерго" ДЗО  ПАО "Россети"</v>
      </c>
      <c r="B9" s="402"/>
      <c r="C9" s="163"/>
      <c r="D9" s="163"/>
      <c r="E9" s="163"/>
      <c r="F9" s="163"/>
      <c r="G9" s="163"/>
      <c r="H9" s="163"/>
    </row>
    <row r="10" spans="1:8" x14ac:dyDescent="0.25">
      <c r="A10" s="406" t="s">
        <v>6</v>
      </c>
      <c r="B10" s="406"/>
      <c r="C10" s="152"/>
      <c r="D10" s="152"/>
      <c r="E10" s="152"/>
      <c r="F10" s="152"/>
      <c r="G10" s="152"/>
      <c r="H10" s="152"/>
    </row>
    <row r="11" spans="1:8" ht="18.75" x14ac:dyDescent="0.25">
      <c r="A11" s="150"/>
      <c r="B11" s="150"/>
      <c r="C11" s="150"/>
      <c r="D11" s="150"/>
      <c r="E11" s="150"/>
      <c r="F11" s="150"/>
      <c r="G11" s="150"/>
      <c r="H11" s="150"/>
    </row>
    <row r="12" spans="1:8" x14ac:dyDescent="0.25">
      <c r="A12" s="402" t="str">
        <f>'1. паспорт местоположение'!A12:C12</f>
        <v>K_18-1115</v>
      </c>
      <c r="B12" s="402"/>
      <c r="C12" s="163"/>
      <c r="D12" s="163"/>
      <c r="E12" s="163"/>
      <c r="F12" s="163"/>
      <c r="G12" s="163"/>
      <c r="H12" s="163"/>
    </row>
    <row r="13" spans="1:8" x14ac:dyDescent="0.25">
      <c r="A13" s="406" t="s">
        <v>5</v>
      </c>
      <c r="B13" s="406"/>
      <c r="C13" s="152"/>
      <c r="D13" s="152"/>
      <c r="E13" s="152"/>
      <c r="F13" s="152"/>
      <c r="G13" s="152"/>
      <c r="H13" s="152"/>
    </row>
    <row r="14" spans="1:8" ht="18.75" x14ac:dyDescent="0.25">
      <c r="A14" s="10"/>
      <c r="B14" s="10"/>
      <c r="C14" s="10"/>
      <c r="D14" s="10"/>
      <c r="E14" s="10"/>
      <c r="F14" s="10"/>
      <c r="G14" s="10"/>
      <c r="H14" s="10"/>
    </row>
    <row r="15" spans="1:8" ht="40.5" customHeight="1" x14ac:dyDescent="0.25">
      <c r="A15" s="520" t="str">
        <f>'1. паспорт местоположение'!A15:C15</f>
        <v>Строительство КТП 10/0,4 кВ (новой), КЛ-10 кВ и КЛ-1 от КТП (новой) по ул. Портовая-Ленинский проспект, реконструкция ТП-775 (инв. № 5458635) в г. Калининграде</v>
      </c>
      <c r="B15" s="521"/>
      <c r="C15" s="163"/>
      <c r="D15" s="163"/>
      <c r="E15" s="163"/>
      <c r="F15" s="163"/>
      <c r="G15" s="163"/>
      <c r="H15" s="163"/>
    </row>
    <row r="16" spans="1:8" x14ac:dyDescent="0.25">
      <c r="A16" s="406" t="s">
        <v>4</v>
      </c>
      <c r="B16" s="406"/>
      <c r="C16" s="152"/>
      <c r="D16" s="152"/>
      <c r="E16" s="152"/>
      <c r="F16" s="152"/>
      <c r="G16" s="152"/>
      <c r="H16" s="152"/>
    </row>
    <row r="17" spans="1:2" x14ac:dyDescent="0.25">
      <c r="B17" s="119"/>
    </row>
    <row r="18" spans="1:2" x14ac:dyDescent="0.25">
      <c r="A18" s="522" t="s">
        <v>508</v>
      </c>
      <c r="B18" s="523"/>
    </row>
    <row r="19" spans="1:2" x14ac:dyDescent="0.25">
      <c r="B19" s="38"/>
    </row>
    <row r="20" spans="1:2" ht="16.5" thickBot="1" x14ac:dyDescent="0.3">
      <c r="B20" s="120"/>
    </row>
    <row r="21" spans="1:2" ht="45.75" thickBot="1" x14ac:dyDescent="0.3">
      <c r="A21" s="121" t="s">
        <v>379</v>
      </c>
      <c r="B21" s="123" t="str">
        <f>A15</f>
        <v>Строительство КТП 10/0,4 кВ (новой), КЛ-10 кВ и КЛ-1 от КТП (новой) по ул. Портовая-Ленинский проспект, реконструкция ТП-775 (инв. № 5458635) в г. Калининграде</v>
      </c>
    </row>
    <row r="22" spans="1:2" ht="16.5" thickBot="1" x14ac:dyDescent="0.3">
      <c r="A22" s="121" t="s">
        <v>380</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345</v>
      </c>
      <c r="B23" s="126" t="s">
        <v>662</v>
      </c>
    </row>
    <row r="24" spans="1:2" ht="16.5" thickBot="1" x14ac:dyDescent="0.3">
      <c r="A24" s="121" t="s">
        <v>381</v>
      </c>
      <c r="B24" s="123" t="str">
        <f>CONCATENATE('3.1. паспорт Техсостояние ПС'!O25," (",'3.1. паспорт Техсостояние ПС'!O27,") МВА")</f>
        <v>2 (1.5) МВА</v>
      </c>
    </row>
    <row r="25" spans="1:2" ht="16.5" thickBot="1" x14ac:dyDescent="0.3">
      <c r="A25" s="124" t="s">
        <v>382</v>
      </c>
      <c r="B25" s="122">
        <v>2021</v>
      </c>
    </row>
    <row r="26" spans="1:2" ht="16.5" thickBot="1" x14ac:dyDescent="0.3">
      <c r="A26" s="125" t="s">
        <v>383</v>
      </c>
      <c r="B26" s="126" t="s">
        <v>683</v>
      </c>
    </row>
    <row r="27" spans="1:2" ht="29.25" thickBot="1" x14ac:dyDescent="0.3">
      <c r="A27" s="133" t="s">
        <v>646</v>
      </c>
      <c r="B27" s="272">
        <f>'5. анализ эконом эфф'!B115</f>
        <v>3.1821696199999998</v>
      </c>
    </row>
    <row r="28" spans="1:2" ht="16.5" thickBot="1" x14ac:dyDescent="0.3">
      <c r="A28" s="128" t="s">
        <v>384</v>
      </c>
      <c r="B28" s="128" t="s">
        <v>691</v>
      </c>
    </row>
    <row r="29" spans="1:2" ht="29.25" thickBot="1" x14ac:dyDescent="0.3">
      <c r="A29" s="134" t="s">
        <v>385</v>
      </c>
      <c r="B29" s="349">
        <f>'7. Паспорт отчет о закупке'!AD32/1000</f>
        <v>2.6105136200000003</v>
      </c>
    </row>
    <row r="30" spans="1:2" ht="29.25" thickBot="1" x14ac:dyDescent="0.3">
      <c r="A30" s="134" t="s">
        <v>386</v>
      </c>
      <c r="B30" s="349">
        <f>B32+B41+B58</f>
        <v>2.6105136200000003</v>
      </c>
    </row>
    <row r="31" spans="1:2" ht="16.5" thickBot="1" x14ac:dyDescent="0.3">
      <c r="A31" s="128" t="s">
        <v>387</v>
      </c>
      <c r="B31" s="349"/>
    </row>
    <row r="32" spans="1:2" ht="29.25" thickBot="1" x14ac:dyDescent="0.3">
      <c r="A32" s="134" t="s">
        <v>713</v>
      </c>
      <c r="B32" s="349">
        <f>B33+B37</f>
        <v>2.3565136200000003</v>
      </c>
    </row>
    <row r="33" spans="1:3" s="282" customFormat="1" ht="30.75" thickBot="1" x14ac:dyDescent="0.3">
      <c r="A33" s="385" t="s">
        <v>706</v>
      </c>
      <c r="B33" s="386">
        <v>2.3565136200000003</v>
      </c>
    </row>
    <row r="34" spans="1:3" ht="16.5" thickBot="1" x14ac:dyDescent="0.3">
      <c r="A34" s="128" t="s">
        <v>389</v>
      </c>
      <c r="B34" s="283">
        <f>B33/$B$27</f>
        <v>0.74053677251811623</v>
      </c>
    </row>
    <row r="35" spans="1:3" ht="16.5" thickBot="1" x14ac:dyDescent="0.3">
      <c r="A35" s="128" t="s">
        <v>390</v>
      </c>
      <c r="B35" s="349">
        <v>2.3565136200000003</v>
      </c>
      <c r="C35" s="118">
        <v>1</v>
      </c>
    </row>
    <row r="36" spans="1:3" ht="16.5" thickBot="1" x14ac:dyDescent="0.3">
      <c r="A36" s="128" t="s">
        <v>391</v>
      </c>
      <c r="B36" s="349">
        <v>2.3565136199999999</v>
      </c>
      <c r="C36" s="118">
        <v>2</v>
      </c>
    </row>
    <row r="37" spans="1:3" s="282" customFormat="1" ht="16.5" thickBot="1" x14ac:dyDescent="0.3">
      <c r="A37" s="296" t="s">
        <v>388</v>
      </c>
      <c r="B37" s="350">
        <v>0</v>
      </c>
    </row>
    <row r="38" spans="1:3" ht="16.5" thickBot="1" x14ac:dyDescent="0.3">
      <c r="A38" s="128" t="s">
        <v>389</v>
      </c>
      <c r="B38" s="283">
        <f>B37/$B$27</f>
        <v>0</v>
      </c>
    </row>
    <row r="39" spans="1:3" ht="16.5" thickBot="1" x14ac:dyDescent="0.3">
      <c r="A39" s="128" t="s">
        <v>390</v>
      </c>
      <c r="B39" s="349">
        <v>0</v>
      </c>
      <c r="C39" s="118">
        <v>1</v>
      </c>
    </row>
    <row r="40" spans="1:3" ht="16.5" thickBot="1" x14ac:dyDescent="0.3">
      <c r="A40" s="128" t="s">
        <v>391</v>
      </c>
      <c r="B40" s="349">
        <v>0</v>
      </c>
      <c r="C40" s="118">
        <v>2</v>
      </c>
    </row>
    <row r="41" spans="1:3" ht="29.25" thickBot="1" x14ac:dyDescent="0.3">
      <c r="A41" s="134" t="s">
        <v>392</v>
      </c>
      <c r="B41" s="349">
        <f>B42+B46+B50+B54</f>
        <v>0</v>
      </c>
    </row>
    <row r="42" spans="1:3" s="282" customFormat="1" ht="16.5" thickBot="1" x14ac:dyDescent="0.3">
      <c r="A42" s="281" t="s">
        <v>388</v>
      </c>
      <c r="B42" s="350">
        <v>0</v>
      </c>
    </row>
    <row r="43" spans="1:3" ht="16.5" thickBot="1" x14ac:dyDescent="0.3">
      <c r="A43" s="128" t="s">
        <v>389</v>
      </c>
      <c r="B43" s="283">
        <f>B42/$B$27</f>
        <v>0</v>
      </c>
    </row>
    <row r="44" spans="1:3" ht="16.5" thickBot="1" x14ac:dyDescent="0.3">
      <c r="A44" s="128" t="s">
        <v>390</v>
      </c>
      <c r="B44" s="349">
        <v>0</v>
      </c>
      <c r="C44" s="118">
        <v>1</v>
      </c>
    </row>
    <row r="45" spans="1:3" ht="16.5" thickBot="1" x14ac:dyDescent="0.3">
      <c r="A45" s="128" t="s">
        <v>391</v>
      </c>
      <c r="B45" s="349">
        <v>0</v>
      </c>
      <c r="C45" s="118">
        <v>2</v>
      </c>
    </row>
    <row r="46" spans="1:3" s="282" customFormat="1" ht="16.5" thickBot="1" x14ac:dyDescent="0.3">
      <c r="A46" s="281" t="s">
        <v>388</v>
      </c>
      <c r="B46" s="350">
        <v>0</v>
      </c>
    </row>
    <row r="47" spans="1:3" ht="16.5" thickBot="1" x14ac:dyDescent="0.3">
      <c r="A47" s="128" t="s">
        <v>389</v>
      </c>
      <c r="B47" s="283">
        <f>B46/$B$27</f>
        <v>0</v>
      </c>
    </row>
    <row r="48" spans="1:3" ht="16.5" thickBot="1" x14ac:dyDescent="0.3">
      <c r="A48" s="128" t="s">
        <v>390</v>
      </c>
      <c r="B48" s="349">
        <v>0</v>
      </c>
      <c r="C48" s="118">
        <v>1</v>
      </c>
    </row>
    <row r="49" spans="1:3" ht="16.5" thickBot="1" x14ac:dyDescent="0.3">
      <c r="A49" s="128" t="s">
        <v>391</v>
      </c>
      <c r="B49" s="349">
        <v>0</v>
      </c>
      <c r="C49" s="118">
        <v>2</v>
      </c>
    </row>
    <row r="50" spans="1:3" s="282" customFormat="1" ht="16.5" thickBot="1" x14ac:dyDescent="0.3">
      <c r="A50" s="281" t="s">
        <v>388</v>
      </c>
      <c r="B50" s="350">
        <v>0</v>
      </c>
    </row>
    <row r="51" spans="1:3" ht="16.5" thickBot="1" x14ac:dyDescent="0.3">
      <c r="A51" s="128" t="s">
        <v>389</v>
      </c>
      <c r="B51" s="283">
        <f>B50/$B$27</f>
        <v>0</v>
      </c>
    </row>
    <row r="52" spans="1:3" ht="16.5" thickBot="1" x14ac:dyDescent="0.3">
      <c r="A52" s="128" t="s">
        <v>390</v>
      </c>
      <c r="B52" s="349">
        <v>0</v>
      </c>
      <c r="C52" s="118">
        <v>1</v>
      </c>
    </row>
    <row r="53" spans="1:3" ht="16.5" thickBot="1" x14ac:dyDescent="0.3">
      <c r="A53" s="128" t="s">
        <v>391</v>
      </c>
      <c r="B53" s="349">
        <v>0</v>
      </c>
      <c r="C53" s="118">
        <v>2</v>
      </c>
    </row>
    <row r="54" spans="1:3" s="282" customFormat="1" ht="16.5" thickBot="1" x14ac:dyDescent="0.3">
      <c r="A54" s="281" t="s">
        <v>388</v>
      </c>
      <c r="B54" s="350">
        <v>0</v>
      </c>
    </row>
    <row r="55" spans="1:3" ht="16.5" thickBot="1" x14ac:dyDescent="0.3">
      <c r="A55" s="128" t="s">
        <v>389</v>
      </c>
      <c r="B55" s="283">
        <f>B54/$B$27</f>
        <v>0</v>
      </c>
    </row>
    <row r="56" spans="1:3" ht="16.5" thickBot="1" x14ac:dyDescent="0.3">
      <c r="A56" s="128" t="s">
        <v>390</v>
      </c>
      <c r="B56" s="349">
        <v>0</v>
      </c>
      <c r="C56" s="118">
        <v>1</v>
      </c>
    </row>
    <row r="57" spans="1:3" ht="16.5" thickBot="1" x14ac:dyDescent="0.3">
      <c r="A57" s="128" t="s">
        <v>391</v>
      </c>
      <c r="B57" s="349">
        <v>0</v>
      </c>
      <c r="C57" s="118">
        <v>2</v>
      </c>
    </row>
    <row r="58" spans="1:3" ht="29.25" thickBot="1" x14ac:dyDescent="0.3">
      <c r="A58" s="134" t="s">
        <v>393</v>
      </c>
      <c r="B58" s="349">
        <f>B59+B63+B67+B71</f>
        <v>0.254</v>
      </c>
    </row>
    <row r="59" spans="1:3" s="282" customFormat="1" ht="30.75" thickBot="1" x14ac:dyDescent="0.3">
      <c r="A59" s="385" t="s">
        <v>718</v>
      </c>
      <c r="B59" s="386">
        <v>0.254</v>
      </c>
    </row>
    <row r="60" spans="1:3" ht="16.5" thickBot="1" x14ac:dyDescent="0.3">
      <c r="A60" s="128" t="s">
        <v>389</v>
      </c>
      <c r="B60" s="283">
        <f>B59/$B$27</f>
        <v>7.9819755176972623E-2</v>
      </c>
    </row>
    <row r="61" spans="1:3" ht="16.5" thickBot="1" x14ac:dyDescent="0.3">
      <c r="A61" s="128" t="s">
        <v>390</v>
      </c>
      <c r="B61" s="349">
        <v>0.254</v>
      </c>
      <c r="C61" s="118">
        <v>1</v>
      </c>
    </row>
    <row r="62" spans="1:3" ht="16.5" thickBot="1" x14ac:dyDescent="0.3">
      <c r="A62" s="128" t="s">
        <v>391</v>
      </c>
      <c r="B62" s="349">
        <v>0.254</v>
      </c>
      <c r="C62" s="118">
        <v>2</v>
      </c>
    </row>
    <row r="63" spans="1:3" s="282" customFormat="1" ht="16.5" thickBot="1" x14ac:dyDescent="0.3">
      <c r="A63" s="281" t="s">
        <v>388</v>
      </c>
      <c r="B63" s="350">
        <v>0</v>
      </c>
    </row>
    <row r="64" spans="1:3" ht="16.5" thickBot="1" x14ac:dyDescent="0.3">
      <c r="A64" s="128" t="s">
        <v>389</v>
      </c>
      <c r="B64" s="283">
        <f>B63/$B$27</f>
        <v>0</v>
      </c>
    </row>
    <row r="65" spans="1:3" ht="16.5" thickBot="1" x14ac:dyDescent="0.3">
      <c r="A65" s="128" t="s">
        <v>390</v>
      </c>
      <c r="B65" s="349">
        <v>0</v>
      </c>
      <c r="C65" s="118">
        <v>1</v>
      </c>
    </row>
    <row r="66" spans="1:3" ht="16.5" thickBot="1" x14ac:dyDescent="0.3">
      <c r="A66" s="128" t="s">
        <v>391</v>
      </c>
      <c r="B66" s="349">
        <v>0</v>
      </c>
      <c r="C66" s="118">
        <v>2</v>
      </c>
    </row>
    <row r="67" spans="1:3" s="282" customFormat="1" ht="16.5" thickBot="1" x14ac:dyDescent="0.3">
      <c r="A67" s="281" t="s">
        <v>388</v>
      </c>
      <c r="B67" s="350">
        <v>0</v>
      </c>
    </row>
    <row r="68" spans="1:3" ht="16.5" thickBot="1" x14ac:dyDescent="0.3">
      <c r="A68" s="128" t="s">
        <v>389</v>
      </c>
      <c r="B68" s="283">
        <f>B67/$B$27</f>
        <v>0</v>
      </c>
    </row>
    <row r="69" spans="1:3" ht="16.5" thickBot="1" x14ac:dyDescent="0.3">
      <c r="A69" s="128" t="s">
        <v>390</v>
      </c>
      <c r="B69" s="349">
        <v>0</v>
      </c>
      <c r="C69" s="118">
        <v>1</v>
      </c>
    </row>
    <row r="70" spans="1:3" ht="16.5" thickBot="1" x14ac:dyDescent="0.3">
      <c r="A70" s="128" t="s">
        <v>391</v>
      </c>
      <c r="B70" s="349">
        <v>0</v>
      </c>
      <c r="C70" s="118">
        <v>2</v>
      </c>
    </row>
    <row r="71" spans="1:3" s="282" customFormat="1" ht="16.5" thickBot="1" x14ac:dyDescent="0.3">
      <c r="A71" s="281" t="s">
        <v>388</v>
      </c>
      <c r="B71" s="350">
        <v>0</v>
      </c>
    </row>
    <row r="72" spans="1:3" ht="16.5" thickBot="1" x14ac:dyDescent="0.3">
      <c r="A72" s="128" t="s">
        <v>389</v>
      </c>
      <c r="B72" s="283">
        <f>B71/$B$27</f>
        <v>0</v>
      </c>
    </row>
    <row r="73" spans="1:3" ht="16.5" thickBot="1" x14ac:dyDescent="0.3">
      <c r="A73" s="128" t="s">
        <v>390</v>
      </c>
      <c r="B73" s="349">
        <v>0</v>
      </c>
      <c r="C73" s="118">
        <v>1</v>
      </c>
    </row>
    <row r="74" spans="1:3" ht="16.5" thickBot="1" x14ac:dyDescent="0.3">
      <c r="A74" s="128" t="s">
        <v>391</v>
      </c>
      <c r="B74" s="349">
        <v>0</v>
      </c>
      <c r="C74" s="118">
        <v>2</v>
      </c>
    </row>
    <row r="75" spans="1:3" ht="29.25" thickBot="1" x14ac:dyDescent="0.3">
      <c r="A75" s="127" t="s">
        <v>394</v>
      </c>
      <c r="B75" s="283">
        <f>B30/B27</f>
        <v>0.82035652769508893</v>
      </c>
    </row>
    <row r="76" spans="1:3" ht="16.5" thickBot="1" x14ac:dyDescent="0.3">
      <c r="A76" s="129" t="s">
        <v>387</v>
      </c>
      <c r="B76" s="283"/>
    </row>
    <row r="77" spans="1:3" ht="16.5" thickBot="1" x14ac:dyDescent="0.3">
      <c r="A77" s="129" t="s">
        <v>395</v>
      </c>
      <c r="B77" s="283">
        <f>B32/B27-B78</f>
        <v>0.31189792767866353</v>
      </c>
    </row>
    <row r="78" spans="1:3" ht="16.5" thickBot="1" x14ac:dyDescent="0.3">
      <c r="A78" s="129" t="s">
        <v>396</v>
      </c>
      <c r="B78" s="283">
        <f>'6.2. Паспорт фин осв ввод'!J33/'8. Общие сведения'!B27</f>
        <v>0.42863884483945269</v>
      </c>
    </row>
    <row r="79" spans="1:3" ht="16.5" thickBot="1" x14ac:dyDescent="0.3">
      <c r="A79" s="129" t="s">
        <v>397</v>
      </c>
      <c r="B79" s="283">
        <f>B59/B27</f>
        <v>7.9819755176972623E-2</v>
      </c>
    </row>
    <row r="80" spans="1:3" s="384" customFormat="1" ht="34.5" customHeight="1" thickBot="1" x14ac:dyDescent="0.3">
      <c r="A80" s="381" t="s">
        <v>714</v>
      </c>
      <c r="B80" s="382">
        <f>B81</f>
        <v>0.57165600000000005</v>
      </c>
      <c r="C80" s="383"/>
    </row>
    <row r="81" spans="1:6" s="282" customFormat="1" ht="30.75" thickBot="1" x14ac:dyDescent="0.3">
      <c r="A81" s="385" t="s">
        <v>715</v>
      </c>
      <c r="B81" s="386">
        <v>0.57165600000000005</v>
      </c>
      <c r="C81" s="282">
        <v>40</v>
      </c>
    </row>
    <row r="82" spans="1:6" ht="16.5" thickBot="1" x14ac:dyDescent="0.3">
      <c r="A82" s="128" t="s">
        <v>389</v>
      </c>
      <c r="B82" s="283">
        <f>B81/$B$27</f>
        <v>0.17964347230491129</v>
      </c>
      <c r="F82" s="387"/>
    </row>
    <row r="83" spans="1:6" ht="16.5" thickBot="1" x14ac:dyDescent="0.3">
      <c r="A83" s="128" t="s">
        <v>716</v>
      </c>
      <c r="B83" s="349">
        <f>0.47638*1.2</f>
        <v>0.57165600000000005</v>
      </c>
      <c r="C83" s="118">
        <v>1</v>
      </c>
    </row>
    <row r="84" spans="1:6" ht="16.5" thickBot="1" x14ac:dyDescent="0.3">
      <c r="A84" s="128" t="s">
        <v>717</v>
      </c>
      <c r="B84" s="349">
        <v>0.57165600000000005</v>
      </c>
      <c r="C84" s="118">
        <v>2</v>
      </c>
    </row>
    <row r="85" spans="1:6" ht="16.5" thickBot="1" x14ac:dyDescent="0.3">
      <c r="A85" s="124" t="s">
        <v>398</v>
      </c>
      <c r="B85" s="284">
        <f>B86/$B$27</f>
        <v>1.0000000000000002</v>
      </c>
    </row>
    <row r="86" spans="1:6" ht="16.5" thickBot="1" x14ac:dyDescent="0.3">
      <c r="A86" s="124" t="s">
        <v>399</v>
      </c>
      <c r="B86" s="351">
        <f xml:space="preserve"> SUMIF(C33:C84, 1,B33:B84)</f>
        <v>3.1821696200000003</v>
      </c>
    </row>
    <row r="87" spans="1:6" ht="16.5" thickBot="1" x14ac:dyDescent="0.3">
      <c r="A87" s="124" t="s">
        <v>400</v>
      </c>
      <c r="B87" s="284">
        <f>B88/$B$27</f>
        <v>1</v>
      </c>
    </row>
    <row r="88" spans="1:6" ht="16.5" thickBot="1" x14ac:dyDescent="0.3">
      <c r="A88" s="125" t="s">
        <v>401</v>
      </c>
      <c r="B88" s="351">
        <f xml:space="preserve"> SUMIF(C33:C84, 2,B33:B84)</f>
        <v>3.1821696199999998</v>
      </c>
    </row>
    <row r="89" spans="1:6" ht="15.6" customHeight="1" x14ac:dyDescent="0.25">
      <c r="A89" s="127" t="s">
        <v>402</v>
      </c>
      <c r="B89" s="129" t="s">
        <v>403</v>
      </c>
    </row>
    <row r="90" spans="1:6" x14ac:dyDescent="0.25">
      <c r="A90" s="131" t="s">
        <v>404</v>
      </c>
      <c r="B90" s="131" t="s">
        <v>528</v>
      </c>
    </row>
    <row r="91" spans="1:6" x14ac:dyDescent="0.25">
      <c r="A91" s="131" t="s">
        <v>405</v>
      </c>
      <c r="B91" s="131" t="s">
        <v>692</v>
      </c>
    </row>
    <row r="92" spans="1:6" x14ac:dyDescent="0.25">
      <c r="A92" s="131" t="s">
        <v>406</v>
      </c>
      <c r="B92" s="131"/>
    </row>
    <row r="93" spans="1:6" ht="30" x14ac:dyDescent="0.25">
      <c r="A93" s="131" t="s">
        <v>407</v>
      </c>
      <c r="B93" s="131" t="s">
        <v>694</v>
      </c>
    </row>
    <row r="94" spans="1:6" ht="16.5" thickBot="1" x14ac:dyDescent="0.3">
      <c r="A94" s="132" t="s">
        <v>408</v>
      </c>
      <c r="B94" s="132"/>
    </row>
    <row r="95" spans="1:6" ht="30.75" thickBot="1" x14ac:dyDescent="0.3">
      <c r="A95" s="129" t="s">
        <v>409</v>
      </c>
      <c r="B95" s="130" t="s">
        <v>632</v>
      </c>
    </row>
    <row r="96" spans="1:6" ht="29.25" thickBot="1" x14ac:dyDescent="0.3">
      <c r="A96" s="124" t="s">
        <v>410</v>
      </c>
      <c r="B96" s="339">
        <v>7</v>
      </c>
    </row>
    <row r="97" spans="1:2" ht="16.5" thickBot="1" x14ac:dyDescent="0.3">
      <c r="A97" s="129" t="s">
        <v>387</v>
      </c>
      <c r="B97" s="340"/>
    </row>
    <row r="98" spans="1:2" ht="16.5" thickBot="1" x14ac:dyDescent="0.3">
      <c r="A98" s="129" t="s">
        <v>411</v>
      </c>
      <c r="B98" s="339">
        <v>4</v>
      </c>
    </row>
    <row r="99" spans="1:2" ht="16.5" thickBot="1" x14ac:dyDescent="0.3">
      <c r="A99" s="129" t="s">
        <v>412</v>
      </c>
      <c r="B99" s="340">
        <v>3</v>
      </c>
    </row>
    <row r="100" spans="1:2" ht="16.5" thickBot="1" x14ac:dyDescent="0.3">
      <c r="A100" s="137" t="s">
        <v>413</v>
      </c>
      <c r="B100" s="330" t="s">
        <v>693</v>
      </c>
    </row>
    <row r="101" spans="1:2" ht="16.5" thickBot="1" x14ac:dyDescent="0.3">
      <c r="A101" s="124" t="s">
        <v>414</v>
      </c>
      <c r="B101" s="135"/>
    </row>
    <row r="102" spans="1:2" ht="16.5" thickBot="1" x14ac:dyDescent="0.3">
      <c r="A102" s="131" t="s">
        <v>415</v>
      </c>
      <c r="B102" s="341" t="str">
        <f>'6.1. Паспорт сетевой график'!F43</f>
        <v>не требуется</v>
      </c>
    </row>
    <row r="103" spans="1:2" ht="16.5" thickBot="1" x14ac:dyDescent="0.3">
      <c r="A103" s="131" t="s">
        <v>416</v>
      </c>
      <c r="B103" s="138" t="s">
        <v>623</v>
      </c>
    </row>
    <row r="104" spans="1:2" ht="16.5" thickBot="1" x14ac:dyDescent="0.3">
      <c r="A104" s="131" t="s">
        <v>417</v>
      </c>
      <c r="B104" s="138" t="s">
        <v>623</v>
      </c>
    </row>
    <row r="105" spans="1:2" ht="30.75" thickBot="1" x14ac:dyDescent="0.3">
      <c r="A105" s="137" t="s">
        <v>418</v>
      </c>
      <c r="B105" s="136" t="s">
        <v>711</v>
      </c>
    </row>
    <row r="106" spans="1:2" ht="28.5" customHeight="1" x14ac:dyDescent="0.25">
      <c r="A106" s="127" t="s">
        <v>419</v>
      </c>
      <c r="B106" s="524" t="s">
        <v>623</v>
      </c>
    </row>
    <row r="107" spans="1:2" x14ac:dyDescent="0.25">
      <c r="A107" s="131" t="s">
        <v>420</v>
      </c>
      <c r="B107" s="525"/>
    </row>
    <row r="108" spans="1:2" x14ac:dyDescent="0.25">
      <c r="A108" s="131" t="s">
        <v>421</v>
      </c>
      <c r="B108" s="525"/>
    </row>
    <row r="109" spans="1:2" x14ac:dyDescent="0.25">
      <c r="A109" s="131" t="s">
        <v>422</v>
      </c>
      <c r="B109" s="525"/>
    </row>
    <row r="110" spans="1:2" x14ac:dyDescent="0.25">
      <c r="A110" s="131" t="s">
        <v>423</v>
      </c>
      <c r="B110" s="525"/>
    </row>
    <row r="111" spans="1:2" ht="16.5" thickBot="1" x14ac:dyDescent="0.3">
      <c r="A111" s="139" t="s">
        <v>424</v>
      </c>
      <c r="B111" s="526"/>
    </row>
    <row r="114" spans="1:2" x14ac:dyDescent="0.25">
      <c r="A114" s="140"/>
      <c r="B114" s="141"/>
    </row>
    <row r="115" spans="1:2" x14ac:dyDescent="0.25">
      <c r="B115" s="142"/>
    </row>
    <row r="116" spans="1:2" x14ac:dyDescent="0.25">
      <c r="B116" s="143"/>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565</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32">
        <v>2</v>
      </c>
    </row>
    <row r="7" spans="1:1" s="110" customFormat="1" ht="23.25" customHeight="1" x14ac:dyDescent="0.25">
      <c r="A7" s="236" t="s">
        <v>566</v>
      </c>
    </row>
    <row r="8" spans="1:1" ht="31.5" customHeight="1" x14ac:dyDescent="0.25">
      <c r="A8" s="233" t="s">
        <v>575</v>
      </c>
    </row>
    <row r="9" spans="1:1" ht="45.75" customHeight="1" x14ac:dyDescent="0.25">
      <c r="A9" s="233" t="s">
        <v>576</v>
      </c>
    </row>
    <row r="10" spans="1:1" ht="33.75" customHeight="1" x14ac:dyDescent="0.25">
      <c r="A10" s="233" t="s">
        <v>577</v>
      </c>
    </row>
    <row r="11" spans="1:1" ht="23.25" customHeight="1" x14ac:dyDescent="0.25">
      <c r="A11" s="233" t="s">
        <v>578</v>
      </c>
    </row>
    <row r="12" spans="1:1" ht="23.25" customHeight="1" x14ac:dyDescent="0.25">
      <c r="A12" s="233" t="s">
        <v>579</v>
      </c>
    </row>
    <row r="13" spans="1:1" ht="33" customHeight="1" x14ac:dyDescent="0.25">
      <c r="A13" s="233" t="s">
        <v>580</v>
      </c>
    </row>
    <row r="14" spans="1:1" ht="23.25" customHeight="1" x14ac:dyDescent="0.25">
      <c r="A14" s="233" t="s">
        <v>581</v>
      </c>
    </row>
    <row r="15" spans="1:1" ht="23.25" customHeight="1" x14ac:dyDescent="0.25">
      <c r="A15" s="234" t="s">
        <v>582</v>
      </c>
    </row>
    <row r="16" spans="1:1" ht="34.5" customHeight="1" x14ac:dyDescent="0.25">
      <c r="A16" s="234" t="s">
        <v>583</v>
      </c>
    </row>
    <row r="17" spans="1:1" ht="39.75" customHeight="1" x14ac:dyDescent="0.25">
      <c r="A17" s="234" t="s">
        <v>584</v>
      </c>
    </row>
    <row r="18" spans="1:1" ht="40.5" customHeight="1" x14ac:dyDescent="0.25">
      <c r="A18" s="234" t="s">
        <v>585</v>
      </c>
    </row>
    <row r="19" spans="1:1" ht="48.75" customHeight="1" x14ac:dyDescent="0.25">
      <c r="A19" s="234" t="s">
        <v>583</v>
      </c>
    </row>
    <row r="20" spans="1:1" ht="39" customHeight="1" x14ac:dyDescent="0.25">
      <c r="A20" s="233" t="s">
        <v>584</v>
      </c>
    </row>
    <row r="21" spans="1:1" ht="39.75" customHeight="1" x14ac:dyDescent="0.25">
      <c r="A21" s="233" t="s">
        <v>586</v>
      </c>
    </row>
    <row r="22" spans="1:1" ht="35.25" customHeight="1" x14ac:dyDescent="0.25">
      <c r="A22" s="233" t="s">
        <v>587</v>
      </c>
    </row>
    <row r="23" spans="1:1" ht="35.25" customHeight="1" x14ac:dyDescent="0.25">
      <c r="A23" s="233" t="s">
        <v>588</v>
      </c>
    </row>
    <row r="24" spans="1:1" ht="57.75" customHeight="1" x14ac:dyDescent="0.25">
      <c r="A24" s="233" t="s">
        <v>589</v>
      </c>
    </row>
    <row r="25" spans="1:1" s="110" customFormat="1" ht="23.25" customHeight="1" x14ac:dyDescent="0.25">
      <c r="A25" s="236" t="s">
        <v>590</v>
      </c>
    </row>
    <row r="26" spans="1:1" ht="36.75" customHeight="1" x14ac:dyDescent="0.25">
      <c r="A26" s="233" t="s">
        <v>591</v>
      </c>
    </row>
    <row r="27" spans="1:1" ht="23.25" customHeight="1" x14ac:dyDescent="0.25">
      <c r="A27" s="233" t="s">
        <v>592</v>
      </c>
    </row>
    <row r="28" spans="1:1" ht="30.75" customHeight="1" x14ac:dyDescent="0.25">
      <c r="A28" s="233" t="s">
        <v>593</v>
      </c>
    </row>
    <row r="29" spans="1:1" s="235" customFormat="1" ht="23.25" customHeight="1" x14ac:dyDescent="0.25">
      <c r="A29" s="233" t="s">
        <v>594</v>
      </c>
    </row>
    <row r="30" spans="1:1" s="235" customFormat="1" ht="23.25" customHeight="1" x14ac:dyDescent="0.25">
      <c r="A30" s="233" t="s">
        <v>595</v>
      </c>
    </row>
    <row r="31" spans="1:1" ht="23.25" customHeight="1" x14ac:dyDescent="0.25">
      <c r="A31" s="233" t="s">
        <v>596</v>
      </c>
    </row>
    <row r="32" spans="1:1" ht="23.25" customHeight="1" x14ac:dyDescent="0.25">
      <c r="A32" s="233" t="s">
        <v>597</v>
      </c>
    </row>
    <row r="33" spans="1:1" ht="23.25" customHeight="1" x14ac:dyDescent="0.25">
      <c r="A33" s="233" t="s">
        <v>598</v>
      </c>
    </row>
    <row r="34" spans="1:1" ht="23.25" customHeight="1" x14ac:dyDescent="0.25">
      <c r="A34" s="233" t="s">
        <v>599</v>
      </c>
    </row>
    <row r="35" spans="1:1" ht="23.25" customHeight="1" x14ac:dyDescent="0.25">
      <c r="A35" s="233" t="s">
        <v>600</v>
      </c>
    </row>
    <row r="36" spans="1:1" ht="23.25" customHeight="1" x14ac:dyDescent="0.25">
      <c r="A36" s="233" t="s">
        <v>601</v>
      </c>
    </row>
    <row r="37" spans="1:1" ht="23.25" customHeight="1" x14ac:dyDescent="0.25">
      <c r="A37" s="233" t="s">
        <v>602</v>
      </c>
    </row>
    <row r="38" spans="1:1" ht="23.25" customHeight="1" x14ac:dyDescent="0.25">
      <c r="A38" s="233" t="s">
        <v>603</v>
      </c>
    </row>
    <row r="39" spans="1:1" ht="23.25" customHeight="1" x14ac:dyDescent="0.25">
      <c r="A39" s="233" t="s">
        <v>604</v>
      </c>
    </row>
    <row r="40" spans="1:1" ht="23.25" customHeight="1" x14ac:dyDescent="0.25">
      <c r="A40" s="233" t="s">
        <v>605</v>
      </c>
    </row>
    <row r="41" spans="1:1" ht="23.25" customHeight="1" x14ac:dyDescent="0.25">
      <c r="A41" s="233" t="s">
        <v>606</v>
      </c>
    </row>
    <row r="42" spans="1:1" ht="23.25" customHeight="1" x14ac:dyDescent="0.25">
      <c r="A42" s="233" t="s">
        <v>607</v>
      </c>
    </row>
    <row r="43" spans="1:1" ht="23.25" customHeight="1" x14ac:dyDescent="0.25">
      <c r="A43" s="233" t="s">
        <v>608</v>
      </c>
    </row>
    <row r="44" spans="1:1" s="110" customFormat="1" ht="36" customHeight="1" x14ac:dyDescent="0.25">
      <c r="A44" s="236" t="s">
        <v>609</v>
      </c>
    </row>
    <row r="45" spans="1:1" ht="36" customHeight="1" x14ac:dyDescent="0.25">
      <c r="A45" s="233" t="s">
        <v>610</v>
      </c>
    </row>
    <row r="46" spans="1:1" ht="36" customHeight="1" x14ac:dyDescent="0.25">
      <c r="A46" s="233" t="s">
        <v>611</v>
      </c>
    </row>
    <row r="47" spans="1:1" s="110" customFormat="1" ht="23.25" customHeight="1" x14ac:dyDescent="0.25">
      <c r="A47" s="236" t="s">
        <v>612</v>
      </c>
    </row>
    <row r="48" spans="1:1" s="110" customFormat="1" ht="23.25" customHeight="1" x14ac:dyDescent="0.25">
      <c r="A48" s="237" t="s">
        <v>613</v>
      </c>
    </row>
    <row r="49" spans="1:1" s="110" customFormat="1" ht="23.25" customHeight="1" x14ac:dyDescent="0.25">
      <c r="A49" s="237" t="s">
        <v>614</v>
      </c>
    </row>
    <row r="50" spans="1:1" ht="23.25" customHeight="1" x14ac:dyDescent="0.25">
      <c r="A50" s="23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645</v>
      </c>
    </row>
    <row r="2" spans="1:1" ht="18.75" customHeight="1" x14ac:dyDescent="0.25">
      <c r="A2" t="s">
        <v>647</v>
      </c>
    </row>
    <row r="3" spans="1:1" x14ac:dyDescent="0.25">
      <c r="A3" s="367" t="s">
        <v>648</v>
      </c>
    </row>
    <row r="4" spans="1:1" x14ac:dyDescent="0.25">
      <c r="A4" t="s">
        <v>649</v>
      </c>
    </row>
    <row r="5" spans="1:1" x14ac:dyDescent="0.25">
      <c r="A5" t="s">
        <v>650</v>
      </c>
    </row>
    <row r="6" spans="1:1" x14ac:dyDescent="0.25">
      <c r="A6" t="s">
        <v>651</v>
      </c>
    </row>
    <row r="7" spans="1:1" x14ac:dyDescent="0.25">
      <c r="A7" t="s">
        <v>652</v>
      </c>
    </row>
    <row r="8" spans="1:1" x14ac:dyDescent="0.25">
      <c r="A8" t="s">
        <v>653</v>
      </c>
    </row>
    <row r="9" spans="1:1" x14ac:dyDescent="0.25">
      <c r="A9" t="s">
        <v>616</v>
      </c>
    </row>
    <row r="10" spans="1:1" x14ac:dyDescent="0.25">
      <c r="A10" t="s">
        <v>617</v>
      </c>
    </row>
    <row r="11" spans="1:1" x14ac:dyDescent="0.25">
      <c r="A11" t="s">
        <v>654</v>
      </c>
    </row>
    <row r="12" spans="1:1" x14ac:dyDescent="0.25">
      <c r="A12" s="367" t="s">
        <v>655</v>
      </c>
    </row>
    <row r="13" spans="1:1" x14ac:dyDescent="0.25">
      <c r="A13" t="s">
        <v>656</v>
      </c>
    </row>
    <row r="14" spans="1:1" x14ac:dyDescent="0.25">
      <c r="A14" t="s">
        <v>618</v>
      </c>
    </row>
    <row r="15" spans="1:1" x14ac:dyDescent="0.25">
      <c r="A15" t="s">
        <v>657</v>
      </c>
    </row>
    <row r="16" spans="1:1" x14ac:dyDescent="0.25">
      <c r="A16" t="s">
        <v>658</v>
      </c>
    </row>
    <row r="17" spans="1:1" x14ac:dyDescent="0.25">
      <c r="A17" t="s">
        <v>619</v>
      </c>
    </row>
    <row r="18" spans="1:1" x14ac:dyDescent="0.25">
      <c r="A18" t="s">
        <v>659</v>
      </c>
    </row>
    <row r="19" spans="1:1" x14ac:dyDescent="0.25">
      <c r="A19" t="s">
        <v>660</v>
      </c>
    </row>
    <row r="20" spans="1:1" ht="17.25" customHeight="1" x14ac:dyDescent="0.25">
      <c r="A20" t="s">
        <v>620</v>
      </c>
    </row>
    <row r="21" spans="1:1" x14ac:dyDescent="0.25">
      <c r="A21" t="s">
        <v>661</v>
      </c>
    </row>
    <row r="22" spans="1:1" x14ac:dyDescent="0.25">
      <c r="A22" t="s">
        <v>621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622</v>
      </c>
    </row>
    <row r="2" spans="1:1" x14ac:dyDescent="0.25">
      <c r="A2" t="s">
        <v>530</v>
      </c>
    </row>
    <row r="3" spans="1:1" x14ac:dyDescent="0.25">
      <c r="A3" t="s">
        <v>623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624</v>
      </c>
    </row>
    <row r="3" spans="1:1" x14ac:dyDescent="0.25">
      <c r="A3" t="s">
        <v>625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628</v>
      </c>
    </row>
    <row r="3" spans="1:1" x14ac:dyDescent="0.25">
      <c r="A3" t="s">
        <v>629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567</v>
      </c>
    </row>
    <row r="2" spans="1:1" x14ac:dyDescent="0.25">
      <c r="A2" t="s">
        <v>568</v>
      </c>
    </row>
    <row r="3" spans="1:1" x14ac:dyDescent="0.25">
      <c r="A3" t="s">
        <v>569</v>
      </c>
    </row>
    <row r="4" spans="1:1" x14ac:dyDescent="0.25">
      <c r="A4" t="s">
        <v>570</v>
      </c>
    </row>
    <row r="5" spans="1:1" x14ac:dyDescent="0.25">
      <c r="A5" t="s">
        <v>571</v>
      </c>
    </row>
    <row r="6" spans="1:1" x14ac:dyDescent="0.25">
      <c r="A6" t="s">
        <v>572</v>
      </c>
    </row>
    <row r="7" spans="1:1" x14ac:dyDescent="0.25">
      <c r="A7" t="s">
        <v>573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row>
    <row r="5" spans="1:28" s="11" customFormat="1" ht="15.75" x14ac:dyDescent="0.2">
      <c r="A5" s="16"/>
    </row>
    <row r="6" spans="1:28" s="11" customFormat="1" ht="18.75" x14ac:dyDescent="0.2">
      <c r="A6" s="401" t="s">
        <v>7</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2"/>
      <c r="U8" s="12"/>
      <c r="V8" s="12"/>
      <c r="W8" s="12"/>
      <c r="X8" s="12"/>
      <c r="Y8" s="12"/>
      <c r="Z8" s="12"/>
      <c r="AA8" s="12"/>
      <c r="AB8" s="12"/>
    </row>
    <row r="9" spans="1:28" s="11" customFormat="1" ht="18.75" x14ac:dyDescent="0.2">
      <c r="A9" s="406" t="s">
        <v>6</v>
      </c>
      <c r="B9" s="406"/>
      <c r="C9" s="406"/>
      <c r="D9" s="406"/>
      <c r="E9" s="406"/>
      <c r="F9" s="406"/>
      <c r="G9" s="406"/>
      <c r="H9" s="406"/>
      <c r="I9" s="406"/>
      <c r="J9" s="406"/>
      <c r="K9" s="406"/>
      <c r="L9" s="406"/>
      <c r="M9" s="406"/>
      <c r="N9" s="406"/>
      <c r="O9" s="406"/>
      <c r="P9" s="406"/>
      <c r="Q9" s="406"/>
      <c r="R9" s="406"/>
      <c r="S9" s="406"/>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402" t="str">
        <f>'1. паспорт местоположение'!A12:C12</f>
        <v>K_18-1115</v>
      </c>
      <c r="B11" s="402"/>
      <c r="C11" s="402"/>
      <c r="D11" s="402"/>
      <c r="E11" s="402"/>
      <c r="F11" s="402"/>
      <c r="G11" s="402"/>
      <c r="H11" s="402"/>
      <c r="I11" s="402"/>
      <c r="J11" s="402"/>
      <c r="K11" s="402"/>
      <c r="L11" s="402"/>
      <c r="M11" s="402"/>
      <c r="N11" s="402"/>
      <c r="O11" s="402"/>
      <c r="P11" s="402"/>
      <c r="Q11" s="402"/>
      <c r="R11" s="402"/>
      <c r="S11" s="402"/>
      <c r="T11" s="12"/>
      <c r="U11" s="12"/>
      <c r="V11" s="12"/>
      <c r="W11" s="12"/>
      <c r="X11" s="12"/>
      <c r="Y11" s="12"/>
      <c r="Z11" s="12"/>
      <c r="AA11" s="12"/>
      <c r="AB11" s="12"/>
    </row>
    <row r="12" spans="1:28" s="11"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2" x14ac:dyDescent="0.2">
      <c r="A14" s="402" t="str">
        <f>'1. паспорт местоположение'!A9:C9</f>
        <v>Акционерное общество "Янтарьэнерго" ДЗО  ПАО "Россети"</v>
      </c>
      <c r="B14" s="402"/>
      <c r="C14" s="402"/>
      <c r="D14" s="402"/>
      <c r="E14" s="402"/>
      <c r="F14" s="402"/>
      <c r="G14" s="402"/>
      <c r="H14" s="402"/>
      <c r="I14" s="402"/>
      <c r="J14" s="402"/>
      <c r="K14" s="402"/>
      <c r="L14" s="402"/>
      <c r="M14" s="402"/>
      <c r="N14" s="402"/>
      <c r="O14" s="402"/>
      <c r="P14" s="402"/>
      <c r="Q14" s="402"/>
      <c r="R14" s="402"/>
      <c r="S14" s="402"/>
      <c r="T14" s="7"/>
      <c r="U14" s="7"/>
      <c r="V14" s="7"/>
      <c r="W14" s="7"/>
      <c r="X14" s="7"/>
      <c r="Y14" s="7"/>
      <c r="Z14" s="7"/>
      <c r="AA14" s="7"/>
      <c r="AB14" s="7"/>
    </row>
    <row r="15" spans="1:28" s="3" customFormat="1" ht="15" customHeight="1" x14ac:dyDescent="0.2">
      <c r="A15" s="408" t="str">
        <f>'1. паспорт местоположение'!A15:C15</f>
        <v>Строительство КТП 10/0,4 кВ (новой), КЛ-10 кВ и КЛ-1 от КТП (новой) по ул. Портовая-Ленинский проспект, реконструкция ТП-775 (инв. № 5458635) в г. Калининграде</v>
      </c>
      <c r="B15" s="406"/>
      <c r="C15" s="406"/>
      <c r="D15" s="406"/>
      <c r="E15" s="406"/>
      <c r="F15" s="406"/>
      <c r="G15" s="406"/>
      <c r="H15" s="406"/>
      <c r="I15" s="406"/>
      <c r="J15" s="406"/>
      <c r="K15" s="406"/>
      <c r="L15" s="406"/>
      <c r="M15" s="406"/>
      <c r="N15" s="406"/>
      <c r="O15" s="406"/>
      <c r="P15" s="406"/>
      <c r="Q15" s="406"/>
      <c r="R15" s="406"/>
      <c r="S15" s="406"/>
      <c r="T15" s="5"/>
      <c r="U15" s="5"/>
      <c r="V15" s="5"/>
      <c r="W15" s="5"/>
      <c r="X15" s="5"/>
      <c r="Y15" s="5"/>
      <c r="Z15" s="5"/>
      <c r="AA15" s="5"/>
      <c r="AB15" s="5"/>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483</v>
      </c>
      <c r="B17" s="410"/>
      <c r="C17" s="410"/>
      <c r="D17" s="410"/>
      <c r="E17" s="410"/>
      <c r="F17" s="410"/>
      <c r="G17" s="410"/>
      <c r="H17" s="410"/>
      <c r="I17" s="410"/>
      <c r="J17" s="410"/>
      <c r="K17" s="410"/>
      <c r="L17" s="410"/>
      <c r="M17" s="410"/>
      <c r="N17" s="410"/>
      <c r="O17" s="410"/>
      <c r="P17" s="410"/>
      <c r="Q17" s="410"/>
      <c r="R17" s="410"/>
      <c r="S17" s="410"/>
      <c r="T17" s="6"/>
      <c r="U17" s="6"/>
      <c r="V17" s="6"/>
      <c r="W17" s="6"/>
      <c r="X17" s="6"/>
      <c r="Y17" s="6"/>
      <c r="Z17" s="6"/>
      <c r="AA17" s="6"/>
      <c r="AB17" s="6"/>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00" t="s">
        <v>3</v>
      </c>
      <c r="B19" s="400" t="s">
        <v>94</v>
      </c>
      <c r="C19" s="403" t="s">
        <v>378</v>
      </c>
      <c r="D19" s="400" t="s">
        <v>377</v>
      </c>
      <c r="E19" s="400" t="s">
        <v>93</v>
      </c>
      <c r="F19" s="400" t="s">
        <v>92</v>
      </c>
      <c r="G19" s="400" t="s">
        <v>373</v>
      </c>
      <c r="H19" s="400" t="s">
        <v>91</v>
      </c>
      <c r="I19" s="400" t="s">
        <v>90</v>
      </c>
      <c r="J19" s="400" t="s">
        <v>89</v>
      </c>
      <c r="K19" s="400" t="s">
        <v>88</v>
      </c>
      <c r="L19" s="400" t="s">
        <v>87</v>
      </c>
      <c r="M19" s="400" t="s">
        <v>86</v>
      </c>
      <c r="N19" s="400" t="s">
        <v>85</v>
      </c>
      <c r="O19" s="400" t="s">
        <v>84</v>
      </c>
      <c r="P19" s="400" t="s">
        <v>83</v>
      </c>
      <c r="Q19" s="400" t="s">
        <v>376</v>
      </c>
      <c r="R19" s="400"/>
      <c r="S19" s="405" t="s">
        <v>477</v>
      </c>
      <c r="T19" s="4"/>
      <c r="U19" s="4"/>
      <c r="V19" s="4"/>
      <c r="W19" s="4"/>
      <c r="X19" s="4"/>
      <c r="Y19" s="4"/>
    </row>
    <row r="20" spans="1:28" s="3" customFormat="1" ht="180.75" customHeight="1" x14ac:dyDescent="0.2">
      <c r="A20" s="400"/>
      <c r="B20" s="400"/>
      <c r="C20" s="404"/>
      <c r="D20" s="400"/>
      <c r="E20" s="400"/>
      <c r="F20" s="400"/>
      <c r="G20" s="400"/>
      <c r="H20" s="400"/>
      <c r="I20" s="400"/>
      <c r="J20" s="400"/>
      <c r="K20" s="400"/>
      <c r="L20" s="400"/>
      <c r="M20" s="400"/>
      <c r="N20" s="400"/>
      <c r="O20" s="400"/>
      <c r="P20" s="400"/>
      <c r="Q20" s="36" t="s">
        <v>374</v>
      </c>
      <c r="R20" s="37" t="s">
        <v>375</v>
      </c>
      <c r="S20" s="405"/>
      <c r="T20" s="27"/>
      <c r="U20" s="27"/>
      <c r="V20" s="27"/>
      <c r="W20" s="27"/>
      <c r="X20" s="27"/>
      <c r="Y20" s="27"/>
      <c r="Z20" s="26"/>
      <c r="AA20" s="26"/>
      <c r="AB20" s="26"/>
    </row>
    <row r="21" spans="1:28" s="3" customFormat="1" ht="18.75" x14ac:dyDescent="0.2">
      <c r="A21" s="36">
        <v>1</v>
      </c>
      <c r="B21" s="41">
        <v>2</v>
      </c>
      <c r="C21" s="36">
        <v>3</v>
      </c>
      <c r="D21" s="41">
        <v>4</v>
      </c>
      <c r="E21" s="36">
        <v>5</v>
      </c>
      <c r="F21" s="41">
        <v>6</v>
      </c>
      <c r="G21" s="147">
        <v>7</v>
      </c>
      <c r="H21" s="148">
        <v>8</v>
      </c>
      <c r="I21" s="147">
        <v>9</v>
      </c>
      <c r="J21" s="148">
        <v>10</v>
      </c>
      <c r="K21" s="147">
        <v>11</v>
      </c>
      <c r="L21" s="148">
        <v>12</v>
      </c>
      <c r="M21" s="147">
        <v>13</v>
      </c>
      <c r="N21" s="148">
        <v>14</v>
      </c>
      <c r="O21" s="147">
        <v>15</v>
      </c>
      <c r="P21" s="148">
        <v>16</v>
      </c>
      <c r="Q21" s="147">
        <v>17</v>
      </c>
      <c r="R21" s="148">
        <v>18</v>
      </c>
      <c r="S21" s="147">
        <v>19</v>
      </c>
      <c r="T21" s="27"/>
      <c r="U21" s="27"/>
      <c r="V21" s="27"/>
      <c r="W21" s="27"/>
      <c r="X21" s="27"/>
      <c r="Y21" s="27"/>
      <c r="Z21" s="26"/>
      <c r="AA21" s="26"/>
      <c r="AB21" s="26"/>
    </row>
    <row r="22" spans="1:28" s="238" customFormat="1" ht="126" x14ac:dyDescent="0.25">
      <c r="A22" s="298">
        <v>1</v>
      </c>
      <c r="B22" s="276" t="s">
        <v>671</v>
      </c>
      <c r="C22" s="276" t="s">
        <v>670</v>
      </c>
      <c r="D22" s="276" t="s">
        <v>672</v>
      </c>
      <c r="E22" s="276" t="s">
        <v>673</v>
      </c>
      <c r="F22" s="276" t="s">
        <v>674</v>
      </c>
      <c r="G22" s="276" t="s">
        <v>675</v>
      </c>
      <c r="H22" s="277">
        <v>0.45</v>
      </c>
      <c r="I22" s="278">
        <v>0</v>
      </c>
      <c r="J22" s="277">
        <v>0.45</v>
      </c>
      <c r="K22" s="276" t="s">
        <v>636</v>
      </c>
      <c r="L22" s="279">
        <v>2</v>
      </c>
      <c r="M22" s="278"/>
      <c r="N22" s="278"/>
      <c r="O22" s="276"/>
      <c r="P22" s="276"/>
      <c r="Q22" s="342" t="s">
        <v>676</v>
      </c>
      <c r="R22" s="343"/>
      <c r="S22" s="280">
        <v>4.3202520000000001E-2</v>
      </c>
      <c r="T22" s="274"/>
      <c r="U22" s="274"/>
      <c r="V22" s="274"/>
      <c r="W22" s="274"/>
      <c r="X22" s="274"/>
      <c r="Y22" s="274"/>
      <c r="Z22" s="274"/>
      <c r="AA22" s="274"/>
      <c r="AB22" s="274"/>
    </row>
    <row r="23" spans="1:28" ht="20.25" customHeight="1" x14ac:dyDescent="0.25">
      <c r="A23" s="115"/>
      <c r="B23" s="41" t="s">
        <v>371</v>
      </c>
      <c r="C23" s="41"/>
      <c r="D23" s="41"/>
      <c r="E23" s="115" t="s">
        <v>372</v>
      </c>
      <c r="F23" s="115" t="s">
        <v>372</v>
      </c>
      <c r="G23" s="115" t="s">
        <v>372</v>
      </c>
      <c r="H23" s="275">
        <f>H22</f>
        <v>0.45</v>
      </c>
      <c r="I23" s="115"/>
      <c r="J23" s="275">
        <f>J22</f>
        <v>0.45</v>
      </c>
      <c r="K23" s="115"/>
      <c r="L23" s="115"/>
      <c r="M23" s="115"/>
      <c r="N23" s="115"/>
      <c r="O23" s="115"/>
      <c r="P23" s="115"/>
      <c r="Q23" s="116"/>
      <c r="R23" s="2"/>
      <c r="S23" s="275">
        <f>S22</f>
        <v>4.3202520000000001E-2</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9" zoomScale="70" zoomScaleNormal="60" zoomScaleSheetLayoutView="70" workbookViewId="0">
      <selection activeCell="N25" sqref="N25:N26"/>
    </sheetView>
  </sheetViews>
  <sheetFormatPr defaultColWidth="10.7109375" defaultRowHeight="15.75" x14ac:dyDescent="0.25"/>
  <cols>
    <col min="1" max="1" width="9.5703125" style="44" customWidth="1"/>
    <col min="2" max="3" width="14" style="44" customWidth="1"/>
    <col min="4" max="4" width="17.140625" style="44" customWidth="1"/>
    <col min="5" max="6" width="15.5703125" style="44" customWidth="1"/>
    <col min="7" max="8" width="14.57031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2" t="str">
        <f>'1. паспорт местоположение'!A5:C5</f>
        <v>Год раскрытия информации: 2022 год</v>
      </c>
      <c r="B6" s="392"/>
      <c r="C6" s="392"/>
      <c r="D6" s="392"/>
      <c r="E6" s="392"/>
      <c r="F6" s="392"/>
      <c r="G6" s="392"/>
      <c r="H6" s="392"/>
      <c r="I6" s="392"/>
      <c r="J6" s="392"/>
      <c r="K6" s="392"/>
      <c r="L6" s="392"/>
      <c r="M6" s="392"/>
      <c r="N6" s="392"/>
      <c r="O6" s="392"/>
      <c r="P6" s="392"/>
      <c r="Q6" s="392"/>
      <c r="R6" s="392"/>
      <c r="S6" s="392"/>
      <c r="T6" s="392"/>
    </row>
    <row r="7" spans="1:20" s="11" customFormat="1" x14ac:dyDescent="0.2">
      <c r="A7" s="16"/>
      <c r="H7" s="15"/>
    </row>
    <row r="8" spans="1:20" s="11" customFormat="1" ht="18.75" x14ac:dyDescent="0.2">
      <c r="A8" s="401" t="s">
        <v>7</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1" customFormat="1" ht="18.75" customHeight="1" x14ac:dyDescent="0.2">
      <c r="A11" s="406" t="s">
        <v>6</v>
      </c>
      <c r="B11" s="406"/>
      <c r="C11" s="406"/>
      <c r="D11" s="406"/>
      <c r="E11" s="406"/>
      <c r="F11" s="406"/>
      <c r="G11" s="406"/>
      <c r="H11" s="406"/>
      <c r="I11" s="406"/>
      <c r="J11" s="406"/>
      <c r="K11" s="406"/>
      <c r="L11" s="406"/>
      <c r="M11" s="406"/>
      <c r="N11" s="406"/>
      <c r="O11" s="406"/>
      <c r="P11" s="406"/>
      <c r="Q11" s="406"/>
      <c r="R11" s="406"/>
      <c r="S11" s="406"/>
      <c r="T11" s="406"/>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402" t="str">
        <f>'1. паспорт местоположение'!A12:C12</f>
        <v>K_18-1115</v>
      </c>
      <c r="B13" s="402"/>
      <c r="C13" s="402"/>
      <c r="D13" s="402"/>
      <c r="E13" s="402"/>
      <c r="F13" s="402"/>
      <c r="G13" s="402"/>
      <c r="H13" s="402"/>
      <c r="I13" s="402"/>
      <c r="J13" s="402"/>
      <c r="K13" s="402"/>
      <c r="L13" s="402"/>
      <c r="M13" s="402"/>
      <c r="N13" s="402"/>
      <c r="O13" s="402"/>
      <c r="P13" s="402"/>
      <c r="Q13" s="402"/>
      <c r="R13" s="402"/>
      <c r="S13" s="402"/>
      <c r="T13" s="402"/>
    </row>
    <row r="14" spans="1:20" s="11" customFormat="1" ht="18.75" customHeight="1" x14ac:dyDescent="0.2">
      <c r="A14" s="406" t="s">
        <v>5</v>
      </c>
      <c r="B14" s="406"/>
      <c r="C14" s="406"/>
      <c r="D14" s="406"/>
      <c r="E14" s="406"/>
      <c r="F14" s="406"/>
      <c r="G14" s="406"/>
      <c r="H14" s="406"/>
      <c r="I14" s="406"/>
      <c r="J14" s="406"/>
      <c r="K14" s="406"/>
      <c r="L14" s="406"/>
      <c r="M14" s="406"/>
      <c r="N14" s="406"/>
      <c r="O14" s="406"/>
      <c r="P14" s="406"/>
      <c r="Q14" s="406"/>
      <c r="R14" s="406"/>
      <c r="S14" s="406"/>
      <c r="T14" s="406"/>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6" s="402"/>
      <c r="C16" s="402"/>
      <c r="D16" s="402"/>
      <c r="E16" s="402"/>
      <c r="F16" s="402"/>
      <c r="G16" s="402"/>
      <c r="H16" s="402"/>
      <c r="I16" s="402"/>
      <c r="J16" s="402"/>
      <c r="K16" s="402"/>
      <c r="L16" s="402"/>
      <c r="M16" s="402"/>
      <c r="N16" s="402"/>
      <c r="O16" s="402"/>
      <c r="P16" s="402"/>
      <c r="Q16" s="402"/>
      <c r="R16" s="402"/>
      <c r="S16" s="402"/>
      <c r="T16" s="402"/>
    </row>
    <row r="17" spans="1:113" s="3" customFormat="1" ht="15" customHeight="1" x14ac:dyDescent="0.2">
      <c r="A17" s="406" t="s">
        <v>4</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113" s="3" customFormat="1" ht="15" customHeight="1" x14ac:dyDescent="0.2">
      <c r="A19" s="432" t="s">
        <v>488</v>
      </c>
      <c r="B19" s="432"/>
      <c r="C19" s="432"/>
      <c r="D19" s="432"/>
      <c r="E19" s="432"/>
      <c r="F19" s="432"/>
      <c r="G19" s="432"/>
      <c r="H19" s="432"/>
      <c r="I19" s="432"/>
      <c r="J19" s="432"/>
      <c r="K19" s="432"/>
      <c r="L19" s="432"/>
      <c r="M19" s="432"/>
      <c r="N19" s="432"/>
      <c r="O19" s="432"/>
      <c r="P19" s="432"/>
      <c r="Q19" s="432"/>
      <c r="R19" s="432"/>
      <c r="S19" s="432"/>
      <c r="T19" s="432"/>
    </row>
    <row r="20" spans="1:113" s="52"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6" t="s">
        <v>3</v>
      </c>
      <c r="B21" s="419" t="s">
        <v>218</v>
      </c>
      <c r="C21" s="420"/>
      <c r="D21" s="423" t="s">
        <v>116</v>
      </c>
      <c r="E21" s="419" t="s">
        <v>517</v>
      </c>
      <c r="F21" s="420"/>
      <c r="G21" s="419" t="s">
        <v>268</v>
      </c>
      <c r="H21" s="420"/>
      <c r="I21" s="419" t="s">
        <v>115</v>
      </c>
      <c r="J21" s="420"/>
      <c r="K21" s="423" t="s">
        <v>114</v>
      </c>
      <c r="L21" s="419" t="s">
        <v>113</v>
      </c>
      <c r="M21" s="420"/>
      <c r="N21" s="419" t="s">
        <v>513</v>
      </c>
      <c r="O21" s="420"/>
      <c r="P21" s="423" t="s">
        <v>112</v>
      </c>
      <c r="Q21" s="429" t="s">
        <v>111</v>
      </c>
      <c r="R21" s="430"/>
      <c r="S21" s="429" t="s">
        <v>110</v>
      </c>
      <c r="T21" s="431"/>
    </row>
    <row r="22" spans="1:113" ht="204.75" customHeight="1" x14ac:dyDescent="0.25">
      <c r="A22" s="427"/>
      <c r="B22" s="421"/>
      <c r="C22" s="422"/>
      <c r="D22" s="425"/>
      <c r="E22" s="421"/>
      <c r="F22" s="422"/>
      <c r="G22" s="421"/>
      <c r="H22" s="422"/>
      <c r="I22" s="421"/>
      <c r="J22" s="422"/>
      <c r="K22" s="424"/>
      <c r="L22" s="421"/>
      <c r="M22" s="422"/>
      <c r="N22" s="421"/>
      <c r="O22" s="422"/>
      <c r="P22" s="424"/>
      <c r="Q22" s="105" t="s">
        <v>109</v>
      </c>
      <c r="R22" s="105" t="s">
        <v>487</v>
      </c>
      <c r="S22" s="105" t="s">
        <v>108</v>
      </c>
      <c r="T22" s="105" t="s">
        <v>107</v>
      </c>
    </row>
    <row r="23" spans="1:113" ht="51.75" customHeight="1" x14ac:dyDescent="0.25">
      <c r="A23" s="428"/>
      <c r="B23" s="154" t="s">
        <v>105</v>
      </c>
      <c r="C23" s="154" t="s">
        <v>106</v>
      </c>
      <c r="D23" s="424"/>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5" t="s">
        <v>105</v>
      </c>
      <c r="R23" s="105" t="s">
        <v>105</v>
      </c>
      <c r="S23" s="105" t="s">
        <v>105</v>
      </c>
      <c r="T23" s="105"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2" customFormat="1" ht="47.25" x14ac:dyDescent="0.25">
      <c r="A25" s="416">
        <v>1</v>
      </c>
      <c r="B25" s="412" t="s">
        <v>677</v>
      </c>
      <c r="C25" s="412" t="s">
        <v>677</v>
      </c>
      <c r="D25" s="358" t="s">
        <v>101</v>
      </c>
      <c r="E25" s="368" t="s">
        <v>634</v>
      </c>
      <c r="F25" s="368" t="s">
        <v>680</v>
      </c>
      <c r="G25" s="368" t="s">
        <v>678</v>
      </c>
      <c r="H25" s="368" t="s">
        <v>678</v>
      </c>
      <c r="I25" s="412" t="s">
        <v>632</v>
      </c>
      <c r="J25" s="412">
        <v>2021</v>
      </c>
      <c r="K25" s="412" t="s">
        <v>632</v>
      </c>
      <c r="L25" s="412">
        <v>10</v>
      </c>
      <c r="M25" s="412">
        <v>10</v>
      </c>
      <c r="N25" s="414">
        <f>0.25*2</f>
        <v>0.5</v>
      </c>
      <c r="O25" s="414">
        <f>1*2</f>
        <v>2</v>
      </c>
      <c r="P25" s="412" t="s">
        <v>372</v>
      </c>
      <c r="Q25" s="412" t="s">
        <v>372</v>
      </c>
      <c r="R25" s="412" t="s">
        <v>372</v>
      </c>
      <c r="S25" s="412" t="s">
        <v>372</v>
      </c>
      <c r="T25" s="412" t="s">
        <v>372</v>
      </c>
    </row>
    <row r="26" spans="1:113" s="52" customFormat="1" ht="31.5" x14ac:dyDescent="0.25">
      <c r="A26" s="417"/>
      <c r="B26" s="413"/>
      <c r="C26" s="413"/>
      <c r="D26" s="358" t="s">
        <v>486</v>
      </c>
      <c r="E26" s="368" t="s">
        <v>681</v>
      </c>
      <c r="F26" s="368" t="s">
        <v>709</v>
      </c>
      <c r="G26" s="368" t="s">
        <v>679</v>
      </c>
      <c r="H26" s="368" t="s">
        <v>679</v>
      </c>
      <c r="I26" s="413"/>
      <c r="J26" s="413"/>
      <c r="K26" s="413"/>
      <c r="L26" s="413"/>
      <c r="M26" s="413"/>
      <c r="N26" s="415" t="s">
        <v>372</v>
      </c>
      <c r="O26" s="415" t="s">
        <v>372</v>
      </c>
      <c r="P26" s="413"/>
      <c r="Q26" s="413"/>
      <c r="R26" s="413"/>
      <c r="S26" s="413"/>
      <c r="T26" s="413"/>
    </row>
    <row r="27" spans="1:113" ht="3" customHeight="1" x14ac:dyDescent="0.25">
      <c r="O27" s="44">
        <f>O25-N25</f>
        <v>1.5</v>
      </c>
    </row>
    <row r="28" spans="1:113" s="50" customFormat="1" ht="12.75" x14ac:dyDescent="0.2">
      <c r="B28" s="51"/>
      <c r="C28" s="51"/>
      <c r="K28" s="51"/>
    </row>
    <row r="29" spans="1:113" s="50" customFormat="1" x14ac:dyDescent="0.25">
      <c r="B29" s="48" t="s">
        <v>104</v>
      </c>
      <c r="C29" s="48"/>
      <c r="D29" s="48"/>
      <c r="E29" s="48"/>
      <c r="F29" s="48"/>
      <c r="G29" s="48"/>
      <c r="H29" s="48"/>
      <c r="I29" s="48"/>
      <c r="J29" s="48"/>
      <c r="K29" s="48"/>
      <c r="L29" s="48"/>
      <c r="M29" s="48"/>
      <c r="N29" s="48"/>
      <c r="O29" s="48"/>
      <c r="P29" s="48"/>
      <c r="Q29" s="48"/>
      <c r="R29" s="48"/>
    </row>
    <row r="30" spans="1:113" x14ac:dyDescent="0.25">
      <c r="B30" s="418" t="s">
        <v>523</v>
      </c>
      <c r="C30" s="418"/>
      <c r="D30" s="418"/>
      <c r="E30" s="418"/>
      <c r="F30" s="418"/>
      <c r="G30" s="418"/>
      <c r="H30" s="418"/>
      <c r="I30" s="418"/>
      <c r="J30" s="418"/>
      <c r="K30" s="418"/>
      <c r="L30" s="418"/>
      <c r="M30" s="418"/>
      <c r="N30" s="418"/>
      <c r="O30" s="418"/>
      <c r="P30" s="418"/>
      <c r="Q30" s="418"/>
      <c r="R30" s="418"/>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486</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4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 ref="K25:K26"/>
    <mergeCell ref="L25:L26"/>
    <mergeCell ref="M25:M26"/>
    <mergeCell ref="P25:P26"/>
    <mergeCell ref="Q25:Q26"/>
    <mergeCell ref="R25:R26"/>
    <mergeCell ref="S25:S26"/>
    <mergeCell ref="T25:T26"/>
    <mergeCell ref="N25:N26"/>
    <mergeCell ref="O25:O26"/>
    <mergeCell ref="A25:A26"/>
    <mergeCell ref="B25:B26"/>
    <mergeCell ref="C25:C26"/>
    <mergeCell ref="I25:I26"/>
    <mergeCell ref="J25:J26"/>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0" zoomScale="80" zoomScaleSheetLayoutView="80" workbookViewId="0">
      <selection activeCell="B25" sqref="B25"/>
    </sheetView>
  </sheetViews>
  <sheetFormatPr defaultColWidth="10.7109375" defaultRowHeight="15.75" x14ac:dyDescent="0.25"/>
  <cols>
    <col min="1" max="1" width="10.7109375" style="44"/>
    <col min="2" max="2" width="22.42578125" style="359" customWidth="1"/>
    <col min="3" max="3" width="26.140625" style="359" customWidth="1"/>
    <col min="4" max="4" width="22.42578125" style="44" customWidth="1"/>
    <col min="5" max="5" width="25.425781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66</v>
      </c>
    </row>
    <row r="2" spans="1:27" s="11" customFormat="1" ht="18.75" customHeight="1" x14ac:dyDescent="0.3">
      <c r="B2" s="360"/>
      <c r="C2" s="360"/>
      <c r="E2" s="17"/>
      <c r="Q2" s="15"/>
      <c r="R2" s="15"/>
      <c r="AA2" s="14" t="s">
        <v>8</v>
      </c>
    </row>
    <row r="3" spans="1:27" s="11" customFormat="1" ht="18.75" customHeight="1" x14ac:dyDescent="0.3">
      <c r="B3" s="360"/>
      <c r="C3" s="360"/>
      <c r="E3" s="17"/>
      <c r="Q3" s="15"/>
      <c r="R3" s="15"/>
      <c r="AA3" s="14" t="s">
        <v>65</v>
      </c>
    </row>
    <row r="4" spans="1:27" s="11" customFormat="1" x14ac:dyDescent="0.2">
      <c r="B4" s="360"/>
      <c r="C4" s="360"/>
      <c r="E4" s="16"/>
      <c r="Q4" s="15"/>
      <c r="R4" s="15"/>
    </row>
    <row r="5" spans="1:27" s="11" customFormat="1" x14ac:dyDescent="0.2">
      <c r="A5" s="392" t="str">
        <f>'1. паспорт местоположение'!A5:C5</f>
        <v>Год раскрытия информации: 2022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1" customFormat="1" x14ac:dyDescent="0.2">
      <c r="A6" s="157"/>
      <c r="B6" s="361"/>
      <c r="C6" s="361"/>
      <c r="D6" s="157"/>
      <c r="E6" s="157"/>
      <c r="F6" s="157"/>
      <c r="G6" s="157"/>
      <c r="H6" s="157"/>
      <c r="I6" s="157"/>
      <c r="J6" s="157"/>
      <c r="K6" s="157"/>
      <c r="L6" s="157"/>
      <c r="M6" s="157"/>
      <c r="N6" s="157"/>
      <c r="O6" s="157"/>
      <c r="P6" s="157"/>
      <c r="Q6" s="157"/>
      <c r="R6" s="157"/>
      <c r="S6" s="157"/>
      <c r="T6" s="157"/>
    </row>
    <row r="7" spans="1:27" s="11" customFormat="1" ht="18.75" x14ac:dyDescent="0.2">
      <c r="B7" s="360"/>
      <c r="C7" s="360"/>
      <c r="E7" s="401" t="s">
        <v>7</v>
      </c>
      <c r="F7" s="401"/>
      <c r="G7" s="401"/>
      <c r="H7" s="401"/>
      <c r="I7" s="401"/>
      <c r="J7" s="401"/>
      <c r="K7" s="401"/>
      <c r="L7" s="401"/>
      <c r="M7" s="401"/>
      <c r="N7" s="401"/>
      <c r="O7" s="401"/>
      <c r="P7" s="401"/>
      <c r="Q7" s="401"/>
      <c r="R7" s="401"/>
      <c r="S7" s="401"/>
      <c r="T7" s="401"/>
      <c r="U7" s="401"/>
      <c r="V7" s="401"/>
      <c r="W7" s="401"/>
      <c r="X7" s="401"/>
      <c r="Y7" s="401"/>
    </row>
    <row r="8" spans="1:27" s="11" customFormat="1" ht="18.75" x14ac:dyDescent="0.2">
      <c r="B8" s="360"/>
      <c r="C8" s="360"/>
      <c r="E8" s="13"/>
      <c r="F8" s="13"/>
      <c r="G8" s="13"/>
      <c r="H8" s="13"/>
      <c r="I8" s="13"/>
      <c r="J8" s="13"/>
      <c r="K8" s="13"/>
      <c r="L8" s="13"/>
      <c r="M8" s="13"/>
      <c r="N8" s="13"/>
      <c r="O8" s="13"/>
      <c r="P8" s="13"/>
      <c r="Q8" s="13"/>
      <c r="R8" s="13"/>
      <c r="S8" s="12"/>
      <c r="T8" s="12"/>
      <c r="U8" s="12"/>
      <c r="V8" s="12"/>
      <c r="W8" s="12"/>
    </row>
    <row r="9" spans="1:27" s="11" customFormat="1" ht="18.75" customHeight="1" x14ac:dyDescent="0.2">
      <c r="B9" s="360"/>
      <c r="C9" s="360"/>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1" customFormat="1" ht="18.75" customHeight="1" x14ac:dyDescent="0.2">
      <c r="B10" s="360"/>
      <c r="C10" s="360"/>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11" customFormat="1" ht="18.75" x14ac:dyDescent="0.2">
      <c r="B11" s="360"/>
      <c r="C11" s="360"/>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360"/>
      <c r="C12" s="360"/>
      <c r="E12" s="402" t="str">
        <f>'1. паспорт местоположение'!A12</f>
        <v>K_18-1115</v>
      </c>
      <c r="F12" s="402"/>
      <c r="G12" s="402"/>
      <c r="H12" s="402"/>
      <c r="I12" s="402"/>
      <c r="J12" s="402"/>
      <c r="K12" s="402"/>
      <c r="L12" s="402"/>
      <c r="M12" s="402"/>
      <c r="N12" s="402"/>
      <c r="O12" s="402"/>
      <c r="P12" s="402"/>
      <c r="Q12" s="402"/>
      <c r="R12" s="402"/>
      <c r="S12" s="402"/>
      <c r="T12" s="402"/>
      <c r="U12" s="402"/>
      <c r="V12" s="402"/>
      <c r="W12" s="402"/>
      <c r="X12" s="402"/>
      <c r="Y12" s="402"/>
    </row>
    <row r="13" spans="1:27" s="11" customFormat="1" ht="18.75" customHeight="1" x14ac:dyDescent="0.2">
      <c r="B13" s="360"/>
      <c r="C13" s="360"/>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8" customFormat="1" ht="15.75" customHeight="1" x14ac:dyDescent="0.2">
      <c r="B14" s="362"/>
      <c r="C14" s="362"/>
      <c r="E14" s="9"/>
      <c r="F14" s="9"/>
      <c r="G14" s="9"/>
      <c r="H14" s="9"/>
      <c r="I14" s="9"/>
      <c r="J14" s="9"/>
      <c r="K14" s="9"/>
      <c r="L14" s="9"/>
      <c r="M14" s="9"/>
      <c r="N14" s="9"/>
      <c r="O14" s="9"/>
      <c r="P14" s="9"/>
      <c r="Q14" s="9"/>
      <c r="R14" s="9"/>
      <c r="S14" s="9"/>
      <c r="T14" s="9"/>
      <c r="U14" s="9"/>
      <c r="V14" s="9"/>
      <c r="W14" s="9"/>
    </row>
    <row r="15" spans="1:27" s="3" customFormat="1" ht="12" x14ac:dyDescent="0.2">
      <c r="B15" s="363"/>
      <c r="C15" s="363"/>
      <c r="E15"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F15" s="402"/>
      <c r="G15" s="402"/>
      <c r="H15" s="402"/>
      <c r="I15" s="402"/>
      <c r="J15" s="402"/>
      <c r="K15" s="402"/>
      <c r="L15" s="402"/>
      <c r="M15" s="402"/>
      <c r="N15" s="402"/>
      <c r="O15" s="402"/>
      <c r="P15" s="402"/>
      <c r="Q15" s="402"/>
      <c r="R15" s="402"/>
      <c r="S15" s="402"/>
      <c r="T15" s="402"/>
      <c r="U15" s="402"/>
      <c r="V15" s="402"/>
      <c r="W15" s="402"/>
      <c r="X15" s="402"/>
      <c r="Y15" s="402"/>
    </row>
    <row r="16" spans="1:27" s="3" customFormat="1" ht="15" customHeight="1" x14ac:dyDescent="0.2">
      <c r="B16" s="363"/>
      <c r="C16" s="363"/>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B17" s="363"/>
      <c r="C17" s="363"/>
      <c r="E17" s="4"/>
      <c r="F17" s="4"/>
      <c r="G17" s="4"/>
      <c r="H17" s="4"/>
      <c r="I17" s="4"/>
      <c r="J17" s="4"/>
      <c r="K17" s="4"/>
      <c r="L17" s="4"/>
      <c r="M17" s="4"/>
      <c r="N17" s="4"/>
      <c r="O17" s="4"/>
      <c r="P17" s="4"/>
      <c r="Q17" s="4"/>
      <c r="R17" s="4"/>
      <c r="S17" s="4"/>
      <c r="T17" s="4"/>
      <c r="U17" s="4"/>
      <c r="V17" s="4"/>
      <c r="W17" s="4"/>
    </row>
    <row r="18" spans="1:27" s="3" customFormat="1" ht="15" customHeight="1" x14ac:dyDescent="0.2">
      <c r="B18" s="363"/>
      <c r="C18" s="363"/>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490</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2" customFormat="1" ht="21" customHeight="1" x14ac:dyDescent="0.25">
      <c r="B20" s="364"/>
      <c r="C20" s="364"/>
    </row>
    <row r="21" spans="1:27" ht="15.75" customHeight="1" x14ac:dyDescent="0.25">
      <c r="A21" s="434" t="s">
        <v>3</v>
      </c>
      <c r="B21" s="437" t="s">
        <v>497</v>
      </c>
      <c r="C21" s="438"/>
      <c r="D21" s="437" t="s">
        <v>499</v>
      </c>
      <c r="E21" s="438"/>
      <c r="F21" s="429" t="s">
        <v>88</v>
      </c>
      <c r="G21" s="431"/>
      <c r="H21" s="431"/>
      <c r="I21" s="430"/>
      <c r="J21" s="434" t="s">
        <v>500</v>
      </c>
      <c r="K21" s="437" t="s">
        <v>501</v>
      </c>
      <c r="L21" s="438"/>
      <c r="M21" s="437" t="s">
        <v>502</v>
      </c>
      <c r="N21" s="438"/>
      <c r="O21" s="437" t="s">
        <v>489</v>
      </c>
      <c r="P21" s="438"/>
      <c r="Q21" s="437" t="s">
        <v>121</v>
      </c>
      <c r="R21" s="438"/>
      <c r="S21" s="434" t="s">
        <v>120</v>
      </c>
      <c r="T21" s="434" t="s">
        <v>503</v>
      </c>
      <c r="U21" s="434" t="s">
        <v>498</v>
      </c>
      <c r="V21" s="437" t="s">
        <v>119</v>
      </c>
      <c r="W21" s="438"/>
      <c r="X21" s="429" t="s">
        <v>111</v>
      </c>
      <c r="Y21" s="431"/>
      <c r="Z21" s="429" t="s">
        <v>110</v>
      </c>
      <c r="AA21" s="431"/>
    </row>
    <row r="22" spans="1:27" ht="216" customHeight="1" x14ac:dyDescent="0.25">
      <c r="A22" s="435"/>
      <c r="B22" s="439"/>
      <c r="C22" s="440"/>
      <c r="D22" s="439"/>
      <c r="E22" s="440"/>
      <c r="F22" s="429" t="s">
        <v>118</v>
      </c>
      <c r="G22" s="430"/>
      <c r="H22" s="429" t="s">
        <v>117</v>
      </c>
      <c r="I22" s="430"/>
      <c r="J22" s="436"/>
      <c r="K22" s="439"/>
      <c r="L22" s="440"/>
      <c r="M22" s="439"/>
      <c r="N22" s="440"/>
      <c r="O22" s="439"/>
      <c r="P22" s="440"/>
      <c r="Q22" s="439"/>
      <c r="R22" s="440"/>
      <c r="S22" s="436"/>
      <c r="T22" s="436"/>
      <c r="U22" s="436"/>
      <c r="V22" s="439"/>
      <c r="W22" s="440"/>
      <c r="X22" s="105" t="s">
        <v>109</v>
      </c>
      <c r="Y22" s="105" t="s">
        <v>487</v>
      </c>
      <c r="Z22" s="105" t="s">
        <v>108</v>
      </c>
      <c r="AA22" s="105" t="s">
        <v>107</v>
      </c>
    </row>
    <row r="23" spans="1:27" ht="60" customHeight="1" x14ac:dyDescent="0.25">
      <c r="A23" s="436"/>
      <c r="B23" s="348" t="s">
        <v>105</v>
      </c>
      <c r="C23" s="348"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8">
        <v>1</v>
      </c>
      <c r="B24" s="365">
        <v>2</v>
      </c>
      <c r="C24" s="365">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2" customFormat="1" x14ac:dyDescent="0.25">
      <c r="A25" s="54">
        <v>1</v>
      </c>
      <c r="B25" s="53" t="s">
        <v>372</v>
      </c>
      <c r="C25" s="53" t="s">
        <v>372</v>
      </c>
      <c r="D25" s="54" t="s">
        <v>372</v>
      </c>
      <c r="E25" s="53" t="s">
        <v>372</v>
      </c>
      <c r="F25" s="54" t="s">
        <v>372</v>
      </c>
      <c r="G25" s="54" t="s">
        <v>372</v>
      </c>
      <c r="H25" s="54" t="s">
        <v>372</v>
      </c>
      <c r="I25" s="54" t="s">
        <v>372</v>
      </c>
      <c r="J25" s="54" t="s">
        <v>372</v>
      </c>
      <c r="K25" s="54" t="s">
        <v>372</v>
      </c>
      <c r="L25" s="54" t="s">
        <v>372</v>
      </c>
      <c r="M25" s="54" t="s">
        <v>372</v>
      </c>
      <c r="N25" s="54" t="s">
        <v>372</v>
      </c>
      <c r="O25" s="54" t="s">
        <v>372</v>
      </c>
      <c r="P25" s="54" t="s">
        <v>372</v>
      </c>
      <c r="Q25" s="54" t="s">
        <v>372</v>
      </c>
      <c r="R25" s="54" t="s">
        <v>372</v>
      </c>
      <c r="S25" s="54" t="s">
        <v>372</v>
      </c>
      <c r="T25" s="54" t="s">
        <v>372</v>
      </c>
      <c r="U25" s="54" t="s">
        <v>372</v>
      </c>
      <c r="V25" s="54" t="s">
        <v>372</v>
      </c>
      <c r="W25" s="54" t="s">
        <v>372</v>
      </c>
      <c r="X25" s="54" t="s">
        <v>372</v>
      </c>
      <c r="Y25" s="54" t="s">
        <v>372</v>
      </c>
      <c r="Z25" s="54" t="s">
        <v>372</v>
      </c>
      <c r="AA25" s="54" t="s">
        <v>372</v>
      </c>
    </row>
    <row r="26" spans="1:27" s="50" customFormat="1" ht="12.75" x14ac:dyDescent="0.2">
      <c r="A26" s="51"/>
      <c r="B26" s="366"/>
      <c r="C26" s="366"/>
      <c r="E26" s="51"/>
      <c r="Q26" s="50">
        <f>SUM(Q25:Q25)</f>
        <v>0</v>
      </c>
      <c r="R26" s="50">
        <f>SUM(R25:R25)</f>
        <v>0</v>
      </c>
      <c r="S26" s="50">
        <f>R26-Q26</f>
        <v>0</v>
      </c>
      <c r="X26" s="107"/>
      <c r="Y26" s="107"/>
      <c r="Z26" s="107"/>
      <c r="AA26" s="107"/>
    </row>
    <row r="27" spans="1:27" s="50" customFormat="1" ht="12.75" x14ac:dyDescent="0.2">
      <c r="A27" s="51"/>
      <c r="B27" s="366"/>
      <c r="C27" s="366"/>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2" t="str">
        <f>'1. паспорт местоположение'!A5:C5</f>
        <v>Год раскрытия информации: 2022 год</v>
      </c>
      <c r="B5" s="392"/>
      <c r="C5" s="392"/>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401" t="s">
        <v>7</v>
      </c>
      <c r="B7" s="401"/>
      <c r="C7" s="401"/>
      <c r="D7" s="12"/>
      <c r="E7" s="12"/>
      <c r="F7" s="12"/>
      <c r="G7" s="12"/>
      <c r="H7" s="12"/>
      <c r="I7" s="12"/>
      <c r="J7" s="12"/>
      <c r="K7" s="12"/>
      <c r="L7" s="12"/>
      <c r="M7" s="12"/>
      <c r="N7" s="12"/>
      <c r="O7" s="12"/>
      <c r="P7" s="12"/>
      <c r="Q7" s="12"/>
      <c r="R7" s="12"/>
      <c r="S7" s="12"/>
      <c r="T7" s="12"/>
      <c r="U7" s="12"/>
    </row>
    <row r="8" spans="1:29" s="11" customFormat="1" ht="18.75" x14ac:dyDescent="0.2">
      <c r="A8" s="401"/>
      <c r="B8" s="401"/>
      <c r="C8" s="401"/>
      <c r="D8" s="13"/>
      <c r="E8" s="13"/>
      <c r="F8" s="13"/>
      <c r="G8" s="13"/>
      <c r="H8" s="12"/>
      <c r="I8" s="12"/>
      <c r="J8" s="12"/>
      <c r="K8" s="12"/>
      <c r="L8" s="12"/>
      <c r="M8" s="12"/>
      <c r="N8" s="12"/>
      <c r="O8" s="12"/>
      <c r="P8" s="12"/>
      <c r="Q8" s="12"/>
      <c r="R8" s="12"/>
      <c r="S8" s="12"/>
      <c r="T8" s="12"/>
      <c r="U8" s="12"/>
    </row>
    <row r="9" spans="1:29" s="11" customFormat="1" ht="18.75" x14ac:dyDescent="0.2">
      <c r="A9" s="402" t="str">
        <f>'1. паспорт местоположение'!A9:C9</f>
        <v>Акционерное общество "Янтарьэнерго" ДЗО  ПАО "Россети"</v>
      </c>
      <c r="B9" s="402"/>
      <c r="C9" s="402"/>
      <c r="D9" s="7"/>
      <c r="E9" s="7"/>
      <c r="F9" s="7"/>
      <c r="G9" s="7"/>
      <c r="H9" s="12"/>
      <c r="I9" s="12"/>
      <c r="J9" s="12"/>
      <c r="K9" s="12"/>
      <c r="L9" s="12"/>
      <c r="M9" s="12"/>
      <c r="N9" s="12"/>
      <c r="O9" s="12"/>
      <c r="P9" s="12"/>
      <c r="Q9" s="12"/>
      <c r="R9" s="12"/>
      <c r="S9" s="12"/>
      <c r="T9" s="12"/>
      <c r="U9" s="12"/>
    </row>
    <row r="10" spans="1:29" s="11" customFormat="1" ht="18.75" x14ac:dyDescent="0.2">
      <c r="A10" s="406" t="s">
        <v>6</v>
      </c>
      <c r="B10" s="406"/>
      <c r="C10" s="406"/>
      <c r="D10" s="5"/>
      <c r="E10" s="5"/>
      <c r="F10" s="5"/>
      <c r="G10" s="5"/>
      <c r="H10" s="12"/>
      <c r="I10" s="12"/>
      <c r="J10" s="12"/>
      <c r="K10" s="12"/>
      <c r="L10" s="12"/>
      <c r="M10" s="12"/>
      <c r="N10" s="12"/>
      <c r="O10" s="12"/>
      <c r="P10" s="12"/>
      <c r="Q10" s="12"/>
      <c r="R10" s="12"/>
      <c r="S10" s="12"/>
      <c r="T10" s="12"/>
      <c r="U10" s="12"/>
    </row>
    <row r="11" spans="1:29" s="11" customFormat="1" ht="18.75" x14ac:dyDescent="0.2">
      <c r="A11" s="401"/>
      <c r="B11" s="401"/>
      <c r="C11" s="401"/>
      <c r="D11" s="13"/>
      <c r="E11" s="13"/>
      <c r="F11" s="13"/>
      <c r="G11" s="13"/>
      <c r="H11" s="12"/>
      <c r="I11" s="12"/>
      <c r="J11" s="12"/>
      <c r="K11" s="12"/>
      <c r="L11" s="12"/>
      <c r="M11" s="12"/>
      <c r="N11" s="12"/>
      <c r="O11" s="12"/>
      <c r="P11" s="12"/>
      <c r="Q11" s="12"/>
      <c r="R11" s="12"/>
      <c r="S11" s="12"/>
      <c r="T11" s="12"/>
      <c r="U11" s="12"/>
    </row>
    <row r="12" spans="1:29" s="11" customFormat="1" ht="18.75" x14ac:dyDescent="0.2">
      <c r="A12" s="402" t="str">
        <f>'1. паспорт местоположение'!A12:C12</f>
        <v>K_18-1115</v>
      </c>
      <c r="B12" s="402"/>
      <c r="C12" s="402"/>
      <c r="D12" s="7"/>
      <c r="E12" s="7"/>
      <c r="F12" s="7"/>
      <c r="G12" s="7"/>
      <c r="H12" s="12"/>
      <c r="I12" s="12"/>
      <c r="J12" s="12"/>
      <c r="K12" s="12"/>
      <c r="L12" s="12"/>
      <c r="M12" s="12"/>
      <c r="N12" s="12"/>
      <c r="O12" s="12"/>
      <c r="P12" s="12"/>
      <c r="Q12" s="12"/>
      <c r="R12" s="12"/>
      <c r="S12" s="12"/>
      <c r="T12" s="12"/>
      <c r="U12" s="12"/>
    </row>
    <row r="13" spans="1:29" s="11" customFormat="1" ht="18.75" x14ac:dyDescent="0.2">
      <c r="A13" s="406" t="s">
        <v>5</v>
      </c>
      <c r="B13" s="406"/>
      <c r="C13" s="40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12" x14ac:dyDescent="0.2">
      <c r="A15"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5" s="402"/>
      <c r="C15" s="402"/>
      <c r="D15" s="7"/>
      <c r="E15" s="7"/>
      <c r="F15" s="7"/>
      <c r="G15" s="7"/>
      <c r="H15" s="7"/>
      <c r="I15" s="7"/>
      <c r="J15" s="7"/>
      <c r="K15" s="7"/>
      <c r="L15" s="7"/>
      <c r="M15" s="7"/>
      <c r="N15" s="7"/>
      <c r="O15" s="7"/>
      <c r="P15" s="7"/>
      <c r="Q15" s="7"/>
      <c r="R15" s="7"/>
      <c r="S15" s="7"/>
      <c r="T15" s="7"/>
      <c r="U15" s="7"/>
    </row>
    <row r="16" spans="1:29" s="3" customFormat="1" ht="15" customHeight="1" x14ac:dyDescent="0.2">
      <c r="A16" s="406" t="s">
        <v>4</v>
      </c>
      <c r="B16" s="406"/>
      <c r="C16" s="406"/>
      <c r="D16" s="5"/>
      <c r="E16" s="5"/>
      <c r="F16" s="5"/>
      <c r="G16" s="5"/>
      <c r="H16" s="5"/>
      <c r="I16" s="5"/>
      <c r="J16" s="5"/>
      <c r="K16" s="5"/>
      <c r="L16" s="5"/>
      <c r="M16" s="5"/>
      <c r="N16" s="5"/>
      <c r="O16" s="5"/>
      <c r="P16" s="5"/>
      <c r="Q16" s="5"/>
      <c r="R16" s="5"/>
      <c r="S16" s="5"/>
      <c r="T16" s="5"/>
      <c r="U16" s="5"/>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482</v>
      </c>
      <c r="B18" s="410"/>
      <c r="C18" s="41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495</v>
      </c>
      <c r="C22" s="295" t="s">
        <v>635</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2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0.45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515</v>
      </c>
      <c r="C24" s="24" t="s">
        <v>682</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516</v>
      </c>
      <c r="C25" s="24" t="s">
        <v>710</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4" t="s">
        <v>638</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496</v>
      </c>
      <c r="C27" s="321"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№6846/09/18 от 24.10.2018; Постановление Правительства Российской Федерации от 27 декабря 2004 г. № 861</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2020</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683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92" t="str">
        <f>'1. паспорт местоположение'!A5:C5</f>
        <v>Год раскрытия информации: 2022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row>
    <row r="6" spans="1:28"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150"/>
      <c r="AB6" s="150"/>
    </row>
    <row r="7" spans="1:28"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150"/>
      <c r="AB7" s="150"/>
    </row>
    <row r="8" spans="1:28" x14ac:dyDescent="0.25">
      <c r="A8" s="402" t="str">
        <f>'1. паспорт местоположение'!A9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51"/>
      <c r="AB8" s="151"/>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52"/>
      <c r="AB9" s="152"/>
    </row>
    <row r="10" spans="1:28"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150"/>
      <c r="AB10" s="150"/>
    </row>
    <row r="11" spans="1:28" x14ac:dyDescent="0.25">
      <c r="A11" s="402" t="str">
        <f>'1. паспорт местоположение'!A12:C12</f>
        <v>K_18-1115</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51"/>
      <c r="AB11" s="151"/>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52"/>
      <c r="AB12" s="152"/>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x14ac:dyDescent="0.25">
      <c r="A14"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151"/>
      <c r="AB14" s="151"/>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52"/>
      <c r="AB15" s="152"/>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59"/>
      <c r="AB16" s="159"/>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59"/>
      <c r="AB17" s="159"/>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59"/>
      <c r="AB18" s="159"/>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59"/>
      <c r="AB19" s="159"/>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0"/>
      <c r="AB20" s="160"/>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0"/>
      <c r="AB21" s="160"/>
    </row>
    <row r="22" spans="1:28" x14ac:dyDescent="0.25">
      <c r="A22" s="442" t="s">
        <v>514</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1"/>
      <c r="AB22" s="161"/>
    </row>
    <row r="23" spans="1:28" ht="32.25" customHeight="1" x14ac:dyDescent="0.25">
      <c r="A23" s="444" t="s">
        <v>369</v>
      </c>
      <c r="B23" s="445"/>
      <c r="C23" s="445"/>
      <c r="D23" s="445"/>
      <c r="E23" s="445"/>
      <c r="F23" s="445"/>
      <c r="G23" s="445"/>
      <c r="H23" s="445"/>
      <c r="I23" s="445"/>
      <c r="J23" s="445"/>
      <c r="K23" s="445"/>
      <c r="L23" s="446"/>
      <c r="M23" s="443" t="s">
        <v>370</v>
      </c>
      <c r="N23" s="443"/>
      <c r="O23" s="443"/>
      <c r="P23" s="443"/>
      <c r="Q23" s="443"/>
      <c r="R23" s="443"/>
      <c r="S23" s="443"/>
      <c r="T23" s="443"/>
      <c r="U23" s="443"/>
      <c r="V23" s="443"/>
      <c r="W23" s="443"/>
      <c r="X23" s="443"/>
      <c r="Y23" s="443"/>
      <c r="Z23" s="443"/>
    </row>
    <row r="24" spans="1:28" ht="151.5" customHeight="1" x14ac:dyDescent="0.25">
      <c r="A24" s="102" t="s">
        <v>228</v>
      </c>
      <c r="B24" s="103" t="s">
        <v>257</v>
      </c>
      <c r="C24" s="102" t="s">
        <v>363</v>
      </c>
      <c r="D24" s="102" t="s">
        <v>229</v>
      </c>
      <c r="E24" s="102" t="s">
        <v>364</v>
      </c>
      <c r="F24" s="102" t="s">
        <v>366</v>
      </c>
      <c r="G24" s="102" t="s">
        <v>365</v>
      </c>
      <c r="H24" s="102" t="s">
        <v>230</v>
      </c>
      <c r="I24" s="102" t="s">
        <v>367</v>
      </c>
      <c r="J24" s="102" t="s">
        <v>262</v>
      </c>
      <c r="K24" s="103" t="s">
        <v>256</v>
      </c>
      <c r="L24" s="103" t="s">
        <v>231</v>
      </c>
      <c r="M24" s="104" t="s">
        <v>276</v>
      </c>
      <c r="N24" s="103" t="s">
        <v>525</v>
      </c>
      <c r="O24" s="102" t="s">
        <v>273</v>
      </c>
      <c r="P24" s="102" t="s">
        <v>274</v>
      </c>
      <c r="Q24" s="102" t="s">
        <v>272</v>
      </c>
      <c r="R24" s="102" t="s">
        <v>230</v>
      </c>
      <c r="S24" s="102" t="s">
        <v>271</v>
      </c>
      <c r="T24" s="102" t="s">
        <v>270</v>
      </c>
      <c r="U24" s="102" t="s">
        <v>362</v>
      </c>
      <c r="V24" s="102" t="s">
        <v>272</v>
      </c>
      <c r="W24" s="109" t="s">
        <v>255</v>
      </c>
      <c r="X24" s="109" t="s">
        <v>287</v>
      </c>
      <c r="Y24" s="109" t="s">
        <v>288</v>
      </c>
      <c r="Z24" s="111" t="s">
        <v>285</v>
      </c>
    </row>
    <row r="25" spans="1:28" ht="16.5" customHeight="1" x14ac:dyDescent="0.25">
      <c r="A25" s="102">
        <v>1</v>
      </c>
      <c r="B25" s="103">
        <v>2</v>
      </c>
      <c r="C25" s="102">
        <v>3</v>
      </c>
      <c r="D25" s="103">
        <v>4</v>
      </c>
      <c r="E25" s="102">
        <v>5</v>
      </c>
      <c r="F25" s="103">
        <v>6</v>
      </c>
      <c r="G25" s="102">
        <v>7</v>
      </c>
      <c r="H25" s="103">
        <v>8</v>
      </c>
      <c r="I25" s="102">
        <v>9</v>
      </c>
      <c r="J25" s="103">
        <v>10</v>
      </c>
      <c r="K25" s="162">
        <v>11</v>
      </c>
      <c r="L25" s="103">
        <v>12</v>
      </c>
      <c r="M25" s="162">
        <v>13</v>
      </c>
      <c r="N25" s="103">
        <v>14</v>
      </c>
      <c r="O25" s="162">
        <v>15</v>
      </c>
      <c r="P25" s="103">
        <v>16</v>
      </c>
      <c r="Q25" s="162">
        <v>17</v>
      </c>
      <c r="R25" s="103">
        <v>18</v>
      </c>
      <c r="S25" s="162">
        <v>19</v>
      </c>
      <c r="T25" s="103">
        <v>20</v>
      </c>
      <c r="U25" s="162">
        <v>21</v>
      </c>
      <c r="V25" s="103">
        <v>22</v>
      </c>
      <c r="W25" s="162">
        <v>23</v>
      </c>
      <c r="X25" s="103">
        <v>24</v>
      </c>
      <c r="Y25" s="162">
        <v>25</v>
      </c>
      <c r="Z25" s="103">
        <v>26</v>
      </c>
    </row>
    <row r="26" spans="1:28" ht="45.75" customHeight="1" x14ac:dyDescent="0.25">
      <c r="A26" s="95" t="s">
        <v>347</v>
      </c>
      <c r="B26" s="101"/>
      <c r="C26" s="97" t="s">
        <v>349</v>
      </c>
      <c r="D26" s="97" t="s">
        <v>350</v>
      </c>
      <c r="E26" s="97" t="s">
        <v>351</v>
      </c>
      <c r="F26" s="97" t="s">
        <v>267</v>
      </c>
      <c r="G26" s="97" t="s">
        <v>352</v>
      </c>
      <c r="H26" s="97" t="s">
        <v>230</v>
      </c>
      <c r="I26" s="97" t="s">
        <v>353</v>
      </c>
      <c r="J26" s="97" t="s">
        <v>354</v>
      </c>
      <c r="K26" s="94"/>
      <c r="L26" s="98" t="s">
        <v>253</v>
      </c>
      <c r="M26" s="100" t="s">
        <v>269</v>
      </c>
      <c r="N26" s="94"/>
      <c r="O26" s="94"/>
      <c r="P26" s="94"/>
      <c r="Q26" s="94"/>
      <c r="R26" s="94"/>
      <c r="S26" s="94"/>
      <c r="T26" s="94"/>
      <c r="U26" s="94"/>
      <c r="V26" s="94"/>
      <c r="W26" s="94"/>
      <c r="X26" s="94"/>
      <c r="Y26" s="94"/>
      <c r="Z26" s="96" t="s">
        <v>286</v>
      </c>
    </row>
    <row r="27" spans="1:28" x14ac:dyDescent="0.25">
      <c r="A27" s="94" t="s">
        <v>232</v>
      </c>
      <c r="B27" s="94" t="s">
        <v>258</v>
      </c>
      <c r="C27" s="94" t="s">
        <v>237</v>
      </c>
      <c r="D27" s="94" t="s">
        <v>238</v>
      </c>
      <c r="E27" s="94" t="s">
        <v>277</v>
      </c>
      <c r="F27" s="97" t="s">
        <v>233</v>
      </c>
      <c r="G27" s="97" t="s">
        <v>281</v>
      </c>
      <c r="H27" s="94" t="s">
        <v>230</v>
      </c>
      <c r="I27" s="97" t="s">
        <v>263</v>
      </c>
      <c r="J27" s="97" t="s">
        <v>245</v>
      </c>
      <c r="K27" s="98" t="s">
        <v>249</v>
      </c>
      <c r="L27" s="94"/>
      <c r="M27" s="98" t="s">
        <v>275</v>
      </c>
      <c r="N27" s="94"/>
      <c r="O27" s="94"/>
      <c r="P27" s="94"/>
      <c r="Q27" s="94"/>
      <c r="R27" s="94"/>
      <c r="S27" s="94"/>
      <c r="T27" s="94"/>
      <c r="U27" s="94"/>
      <c r="V27" s="94"/>
      <c r="W27" s="94"/>
      <c r="X27" s="94"/>
      <c r="Y27" s="94"/>
      <c r="Z27" s="94"/>
    </row>
    <row r="28" spans="1:28" x14ac:dyDescent="0.25">
      <c r="A28" s="94" t="s">
        <v>232</v>
      </c>
      <c r="B28" s="94" t="s">
        <v>259</v>
      </c>
      <c r="C28" s="94" t="s">
        <v>239</v>
      </c>
      <c r="D28" s="94" t="s">
        <v>240</v>
      </c>
      <c r="E28" s="94" t="s">
        <v>278</v>
      </c>
      <c r="F28" s="97" t="s">
        <v>234</v>
      </c>
      <c r="G28" s="97" t="s">
        <v>282</v>
      </c>
      <c r="H28" s="94" t="s">
        <v>230</v>
      </c>
      <c r="I28" s="97" t="s">
        <v>264</v>
      </c>
      <c r="J28" s="97" t="s">
        <v>246</v>
      </c>
      <c r="K28" s="98" t="s">
        <v>250</v>
      </c>
      <c r="L28" s="99"/>
      <c r="M28" s="98" t="s">
        <v>0</v>
      </c>
      <c r="N28" s="98"/>
      <c r="O28" s="98"/>
      <c r="P28" s="98"/>
      <c r="Q28" s="98"/>
      <c r="R28" s="98"/>
      <c r="S28" s="98"/>
      <c r="T28" s="98"/>
      <c r="U28" s="98"/>
      <c r="V28" s="98"/>
      <c r="W28" s="98"/>
      <c r="X28" s="98"/>
      <c r="Y28" s="98"/>
      <c r="Z28" s="98"/>
    </row>
    <row r="29" spans="1:28" x14ac:dyDescent="0.25">
      <c r="A29" s="94" t="s">
        <v>232</v>
      </c>
      <c r="B29" s="94" t="s">
        <v>260</v>
      </c>
      <c r="C29" s="94" t="s">
        <v>241</v>
      </c>
      <c r="D29" s="94" t="s">
        <v>242</v>
      </c>
      <c r="E29" s="94" t="s">
        <v>279</v>
      </c>
      <c r="F29" s="97" t="s">
        <v>235</v>
      </c>
      <c r="G29" s="97" t="s">
        <v>283</v>
      </c>
      <c r="H29" s="94" t="s">
        <v>230</v>
      </c>
      <c r="I29" s="97" t="s">
        <v>265</v>
      </c>
      <c r="J29" s="97" t="s">
        <v>247</v>
      </c>
      <c r="K29" s="98" t="s">
        <v>251</v>
      </c>
      <c r="L29" s="99"/>
      <c r="M29" s="94"/>
      <c r="N29" s="94"/>
      <c r="O29" s="94"/>
      <c r="P29" s="94"/>
      <c r="Q29" s="94"/>
      <c r="R29" s="94"/>
      <c r="S29" s="94"/>
      <c r="T29" s="94"/>
      <c r="U29" s="94"/>
      <c r="V29" s="94"/>
      <c r="W29" s="94"/>
      <c r="X29" s="94"/>
      <c r="Y29" s="94"/>
      <c r="Z29" s="94"/>
    </row>
    <row r="30" spans="1:28" x14ac:dyDescent="0.25">
      <c r="A30" s="94" t="s">
        <v>232</v>
      </c>
      <c r="B30" s="94" t="s">
        <v>261</v>
      </c>
      <c r="C30" s="94" t="s">
        <v>243</v>
      </c>
      <c r="D30" s="94" t="s">
        <v>244</v>
      </c>
      <c r="E30" s="94" t="s">
        <v>280</v>
      </c>
      <c r="F30" s="97" t="s">
        <v>236</v>
      </c>
      <c r="G30" s="97" t="s">
        <v>284</v>
      </c>
      <c r="H30" s="94" t="s">
        <v>230</v>
      </c>
      <c r="I30" s="97" t="s">
        <v>266</v>
      </c>
      <c r="J30" s="97" t="s">
        <v>248</v>
      </c>
      <c r="K30" s="98" t="s">
        <v>252</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348</v>
      </c>
      <c r="B32" s="101"/>
      <c r="C32" s="97" t="s">
        <v>355</v>
      </c>
      <c r="D32" s="97" t="s">
        <v>356</v>
      </c>
      <c r="E32" s="97" t="s">
        <v>357</v>
      </c>
      <c r="F32" s="97" t="s">
        <v>358</v>
      </c>
      <c r="G32" s="97" t="s">
        <v>359</v>
      </c>
      <c r="H32" s="97" t="s">
        <v>230</v>
      </c>
      <c r="I32" s="97" t="s">
        <v>360</v>
      </c>
      <c r="J32" s="97" t="s">
        <v>361</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9.140625" style="1" customWidth="1"/>
    <col min="14"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2" t="str">
        <f>'1. паспорт местоположение'!A5:C5</f>
        <v>Год раскрытия информации: 2022 год</v>
      </c>
      <c r="B5" s="392"/>
      <c r="C5" s="392"/>
      <c r="D5" s="392"/>
      <c r="E5" s="392"/>
      <c r="F5" s="392"/>
      <c r="G5" s="392"/>
      <c r="H5" s="392"/>
      <c r="I5" s="392"/>
      <c r="J5" s="392"/>
      <c r="K5" s="392"/>
      <c r="L5" s="392"/>
      <c r="M5" s="392"/>
      <c r="N5" s="158"/>
      <c r="O5" s="158"/>
      <c r="P5" s="158"/>
      <c r="Q5" s="158"/>
      <c r="R5" s="158"/>
      <c r="S5" s="158"/>
      <c r="T5" s="158"/>
      <c r="U5" s="158"/>
      <c r="V5" s="158"/>
      <c r="W5" s="158"/>
      <c r="X5" s="158"/>
      <c r="Y5" s="158"/>
      <c r="Z5" s="158"/>
    </row>
    <row r="6" spans="1:26" s="11" customFormat="1" ht="15.75" x14ac:dyDescent="0.2">
      <c r="A6" s="16"/>
      <c r="B6" s="16"/>
    </row>
    <row r="7" spans="1:26" s="11" customFormat="1" ht="18.75" x14ac:dyDescent="0.2">
      <c r="A7" s="401" t="s">
        <v>7</v>
      </c>
      <c r="B7" s="401"/>
      <c r="C7" s="401"/>
      <c r="D7" s="401"/>
      <c r="E7" s="401"/>
      <c r="F7" s="401"/>
      <c r="G7" s="401"/>
      <c r="H7" s="401"/>
      <c r="I7" s="401"/>
      <c r="J7" s="401"/>
      <c r="K7" s="401"/>
      <c r="L7" s="401"/>
      <c r="M7" s="401"/>
      <c r="N7" s="12"/>
      <c r="O7" s="12"/>
      <c r="P7" s="12"/>
      <c r="Q7" s="12"/>
      <c r="R7" s="12"/>
      <c r="S7" s="12"/>
      <c r="T7" s="12"/>
      <c r="U7" s="12"/>
      <c r="V7" s="12"/>
      <c r="W7" s="12"/>
      <c r="X7" s="12"/>
    </row>
    <row r="8" spans="1:26" s="11" customFormat="1" ht="18.75" x14ac:dyDescent="0.2">
      <c r="A8" s="401"/>
      <c r="B8" s="401"/>
      <c r="C8" s="401"/>
      <c r="D8" s="401"/>
      <c r="E8" s="401"/>
      <c r="F8" s="401"/>
      <c r="G8" s="401"/>
      <c r="H8" s="401"/>
      <c r="I8" s="401"/>
      <c r="J8" s="401"/>
      <c r="K8" s="401"/>
      <c r="L8" s="401"/>
      <c r="M8" s="401"/>
      <c r="N8" s="12"/>
      <c r="O8" s="12"/>
      <c r="P8" s="12"/>
      <c r="Q8" s="12"/>
      <c r="R8" s="12"/>
      <c r="S8" s="12"/>
      <c r="T8" s="12"/>
      <c r="U8" s="12"/>
      <c r="V8" s="12"/>
      <c r="W8" s="12"/>
      <c r="X8" s="12"/>
    </row>
    <row r="9" spans="1:26" s="11"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12"/>
      <c r="O9" s="12"/>
      <c r="P9" s="12"/>
      <c r="Q9" s="12"/>
      <c r="R9" s="12"/>
      <c r="S9" s="12"/>
      <c r="T9" s="12"/>
      <c r="U9" s="12"/>
      <c r="V9" s="12"/>
      <c r="W9" s="12"/>
      <c r="X9" s="12"/>
    </row>
    <row r="10" spans="1:26" s="11" customFormat="1" ht="18.75" x14ac:dyDescent="0.2">
      <c r="A10" s="406" t="s">
        <v>6</v>
      </c>
      <c r="B10" s="406"/>
      <c r="C10" s="406"/>
      <c r="D10" s="406"/>
      <c r="E10" s="406"/>
      <c r="F10" s="406"/>
      <c r="G10" s="406"/>
      <c r="H10" s="406"/>
      <c r="I10" s="406"/>
      <c r="J10" s="406"/>
      <c r="K10" s="406"/>
      <c r="L10" s="406"/>
      <c r="M10" s="406"/>
      <c r="N10" s="12"/>
      <c r="O10" s="12"/>
      <c r="P10" s="12"/>
      <c r="Q10" s="12"/>
      <c r="R10" s="12"/>
      <c r="S10" s="12"/>
      <c r="T10" s="12"/>
      <c r="U10" s="12"/>
      <c r="V10" s="12"/>
      <c r="W10" s="12"/>
      <c r="X10" s="12"/>
    </row>
    <row r="11" spans="1:26" s="11" customFormat="1" ht="18.75" x14ac:dyDescent="0.2">
      <c r="A11" s="401"/>
      <c r="B11" s="401"/>
      <c r="C11" s="401"/>
      <c r="D11" s="401"/>
      <c r="E11" s="401"/>
      <c r="F11" s="401"/>
      <c r="G11" s="401"/>
      <c r="H11" s="401"/>
      <c r="I11" s="401"/>
      <c r="J11" s="401"/>
      <c r="K11" s="401"/>
      <c r="L11" s="401"/>
      <c r="M11" s="401"/>
      <c r="N11" s="12"/>
      <c r="O11" s="12"/>
      <c r="P11" s="12"/>
      <c r="Q11" s="12"/>
      <c r="R11" s="12"/>
      <c r="S11" s="12"/>
      <c r="T11" s="12"/>
      <c r="U11" s="12"/>
      <c r="V11" s="12"/>
      <c r="W11" s="12"/>
      <c r="X11" s="12"/>
    </row>
    <row r="12" spans="1:26" s="11" customFormat="1" ht="18.75" x14ac:dyDescent="0.2">
      <c r="A12" s="402" t="str">
        <f>'1. паспорт местоположение'!A12:C12</f>
        <v>K_18-1115</v>
      </c>
      <c r="B12" s="402"/>
      <c r="C12" s="402"/>
      <c r="D12" s="402"/>
      <c r="E12" s="402"/>
      <c r="F12" s="402"/>
      <c r="G12" s="402"/>
      <c r="H12" s="402"/>
      <c r="I12" s="402"/>
      <c r="J12" s="402"/>
      <c r="K12" s="402"/>
      <c r="L12" s="402"/>
      <c r="M12" s="402"/>
      <c r="N12" s="12"/>
      <c r="O12" s="12"/>
      <c r="P12" s="12"/>
      <c r="Q12" s="12"/>
      <c r="R12" s="12"/>
      <c r="S12" s="12"/>
      <c r="T12" s="12"/>
      <c r="U12" s="12"/>
      <c r="V12" s="12"/>
      <c r="W12" s="12"/>
      <c r="X12" s="12"/>
    </row>
    <row r="13" spans="1:26" s="11" customFormat="1" ht="18.75" x14ac:dyDescent="0.2">
      <c r="A13" s="406" t="s">
        <v>5</v>
      </c>
      <c r="B13" s="406"/>
      <c r="C13" s="406"/>
      <c r="D13" s="406"/>
      <c r="E13" s="406"/>
      <c r="F13" s="406"/>
      <c r="G13" s="406"/>
      <c r="H13" s="406"/>
      <c r="I13" s="406"/>
      <c r="J13" s="406"/>
      <c r="K13" s="406"/>
      <c r="L13" s="406"/>
      <c r="M13" s="406"/>
      <c r="N13" s="12"/>
      <c r="O13" s="12"/>
      <c r="P13" s="12"/>
      <c r="Q13" s="12"/>
      <c r="R13" s="12"/>
      <c r="S13" s="12"/>
      <c r="T13" s="12"/>
      <c r="U13" s="12"/>
      <c r="V13" s="12"/>
      <c r="W13" s="12"/>
      <c r="X13" s="12"/>
    </row>
    <row r="14" spans="1:26" s="8" customFormat="1" ht="15.75" customHeight="1" x14ac:dyDescent="0.2">
      <c r="A14" s="407"/>
      <c r="B14" s="407"/>
      <c r="C14" s="407"/>
      <c r="D14" s="407"/>
      <c r="E14" s="407"/>
      <c r="F14" s="407"/>
      <c r="G14" s="407"/>
      <c r="H14" s="407"/>
      <c r="I14" s="407"/>
      <c r="J14" s="407"/>
      <c r="K14" s="407"/>
      <c r="L14" s="407"/>
      <c r="M14" s="407"/>
      <c r="N14" s="9"/>
      <c r="O14" s="9"/>
      <c r="P14" s="9"/>
      <c r="Q14" s="9"/>
      <c r="R14" s="9"/>
      <c r="S14" s="9"/>
      <c r="T14" s="9"/>
      <c r="U14" s="9"/>
      <c r="V14" s="9"/>
      <c r="W14" s="9"/>
      <c r="X14" s="9"/>
    </row>
    <row r="15" spans="1:26" s="3" customFormat="1" ht="12" x14ac:dyDescent="0.2">
      <c r="A15"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5" s="402"/>
      <c r="C15" s="402"/>
      <c r="D15" s="402"/>
      <c r="E15" s="402"/>
      <c r="F15" s="402"/>
      <c r="G15" s="402"/>
      <c r="H15" s="402"/>
      <c r="I15" s="402"/>
      <c r="J15" s="402"/>
      <c r="K15" s="402"/>
      <c r="L15" s="402"/>
      <c r="M15" s="402"/>
      <c r="N15" s="7"/>
      <c r="O15" s="7"/>
      <c r="P15" s="7"/>
      <c r="Q15" s="7"/>
      <c r="R15" s="7"/>
      <c r="S15" s="7"/>
      <c r="T15" s="7"/>
      <c r="U15" s="7"/>
      <c r="V15" s="7"/>
      <c r="W15" s="7"/>
      <c r="X15" s="7"/>
    </row>
    <row r="16" spans="1:26" s="3" customFormat="1" ht="15" customHeight="1" x14ac:dyDescent="0.2">
      <c r="A16" s="406" t="s">
        <v>4</v>
      </c>
      <c r="B16" s="406"/>
      <c r="C16" s="406"/>
      <c r="D16" s="406"/>
      <c r="E16" s="406"/>
      <c r="F16" s="406"/>
      <c r="G16" s="406"/>
      <c r="H16" s="406"/>
      <c r="I16" s="406"/>
      <c r="J16" s="406"/>
      <c r="K16" s="406"/>
      <c r="L16" s="406"/>
      <c r="M16" s="406"/>
      <c r="N16" s="5"/>
      <c r="O16" s="5"/>
      <c r="P16" s="5"/>
      <c r="Q16" s="5"/>
      <c r="R16" s="5"/>
      <c r="S16" s="5"/>
      <c r="T16" s="5"/>
      <c r="U16" s="5"/>
      <c r="V16" s="5"/>
      <c r="W16" s="5"/>
      <c r="X16" s="5"/>
    </row>
    <row r="17" spans="1:24" s="3" customFormat="1" ht="15" customHeight="1" x14ac:dyDescent="0.2">
      <c r="A17" s="409"/>
      <c r="B17" s="409"/>
      <c r="C17" s="409"/>
      <c r="D17" s="409"/>
      <c r="E17" s="409"/>
      <c r="F17" s="409"/>
      <c r="G17" s="409"/>
      <c r="H17" s="409"/>
      <c r="I17" s="409"/>
      <c r="J17" s="409"/>
      <c r="K17" s="409"/>
      <c r="L17" s="409"/>
      <c r="M17" s="409"/>
      <c r="N17" s="4"/>
      <c r="O17" s="4"/>
      <c r="P17" s="4"/>
      <c r="Q17" s="4"/>
      <c r="R17" s="4"/>
      <c r="S17" s="4"/>
      <c r="T17" s="4"/>
      <c r="U17" s="4"/>
    </row>
    <row r="18" spans="1:24" s="3" customFormat="1" ht="91.5" customHeight="1" x14ac:dyDescent="0.2">
      <c r="A18" s="448" t="s">
        <v>491</v>
      </c>
      <c r="B18" s="448"/>
      <c r="C18" s="448"/>
      <c r="D18" s="448"/>
      <c r="E18" s="448"/>
      <c r="F18" s="448"/>
      <c r="G18" s="448"/>
      <c r="H18" s="448"/>
      <c r="I18" s="448"/>
      <c r="J18" s="448"/>
      <c r="K18" s="448"/>
      <c r="L18" s="448"/>
      <c r="M18" s="448"/>
      <c r="N18" s="6"/>
      <c r="O18" s="6"/>
      <c r="P18" s="6"/>
      <c r="Q18" s="6"/>
      <c r="R18" s="6"/>
      <c r="S18" s="6"/>
      <c r="T18" s="6"/>
      <c r="U18" s="6"/>
      <c r="V18" s="6"/>
      <c r="W18" s="6"/>
      <c r="X18" s="6"/>
    </row>
    <row r="19" spans="1:24" s="3" customFormat="1" ht="78" customHeight="1" x14ac:dyDescent="0.2">
      <c r="A19" s="400" t="s">
        <v>3</v>
      </c>
      <c r="B19" s="400" t="s">
        <v>82</v>
      </c>
      <c r="C19" s="400" t="s">
        <v>81</v>
      </c>
      <c r="D19" s="400" t="s">
        <v>73</v>
      </c>
      <c r="E19" s="449" t="s">
        <v>80</v>
      </c>
      <c r="F19" s="450"/>
      <c r="G19" s="450"/>
      <c r="H19" s="450"/>
      <c r="I19" s="451"/>
      <c r="J19" s="400" t="s">
        <v>79</v>
      </c>
      <c r="K19" s="400"/>
      <c r="L19" s="400"/>
      <c r="M19" s="400"/>
      <c r="N19" s="4"/>
      <c r="O19" s="4"/>
      <c r="P19" s="4"/>
      <c r="Q19" s="4"/>
      <c r="R19" s="4"/>
      <c r="S19" s="4"/>
      <c r="T19" s="4"/>
      <c r="U19" s="4"/>
    </row>
    <row r="20" spans="1:24" s="3" customFormat="1" ht="51" customHeight="1" x14ac:dyDescent="0.2">
      <c r="A20" s="400"/>
      <c r="B20" s="400"/>
      <c r="C20" s="400"/>
      <c r="D20" s="400"/>
      <c r="E20" s="36" t="s">
        <v>78</v>
      </c>
      <c r="F20" s="36" t="s">
        <v>77</v>
      </c>
      <c r="G20" s="36" t="s">
        <v>76</v>
      </c>
      <c r="H20" s="36" t="s">
        <v>75</v>
      </c>
      <c r="I20" s="36" t="s">
        <v>74</v>
      </c>
      <c r="J20" s="36">
        <v>2020</v>
      </c>
      <c r="K20" s="329">
        <v>2021</v>
      </c>
      <c r="L20" s="371">
        <v>2022</v>
      </c>
      <c r="M20" s="371">
        <v>2023</v>
      </c>
      <c r="N20" s="27"/>
      <c r="O20" s="27"/>
      <c r="P20" s="27"/>
      <c r="Q20" s="27"/>
      <c r="R20" s="27"/>
      <c r="S20" s="27"/>
      <c r="T20" s="27"/>
      <c r="U20" s="27"/>
      <c r="V20" s="26"/>
      <c r="W20" s="26"/>
      <c r="X20" s="26"/>
    </row>
    <row r="21" spans="1:24"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27"/>
      <c r="O21" s="27"/>
      <c r="P21" s="27"/>
      <c r="Q21" s="27"/>
      <c r="R21" s="27"/>
      <c r="S21" s="27"/>
      <c r="T21" s="27"/>
      <c r="U21" s="27"/>
      <c r="V21" s="26"/>
      <c r="W21" s="26"/>
      <c r="X21" s="26"/>
    </row>
    <row r="22" spans="1:24" s="3" customFormat="1" ht="33" customHeight="1" x14ac:dyDescent="0.2">
      <c r="A22" s="40" t="s">
        <v>62</v>
      </c>
      <c r="B22" s="42" t="s">
        <v>684</v>
      </c>
      <c r="C22" s="29">
        <v>0</v>
      </c>
      <c r="D22" s="29">
        <v>0</v>
      </c>
      <c r="E22" s="29">
        <v>0</v>
      </c>
      <c r="F22" s="29">
        <v>0</v>
      </c>
      <c r="G22" s="29">
        <v>0</v>
      </c>
      <c r="H22" s="29">
        <v>0</v>
      </c>
      <c r="I22" s="29">
        <v>0</v>
      </c>
      <c r="J22" s="39">
        <v>0</v>
      </c>
      <c r="K22" s="39">
        <v>0</v>
      </c>
      <c r="L22" s="39">
        <v>0</v>
      </c>
      <c r="M22" s="3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99"/>
  <sheetViews>
    <sheetView topLeftCell="A22" zoomScale="90" zoomScaleNormal="90" workbookViewId="0">
      <selection activeCell="C25" sqref="C25"/>
    </sheetView>
  </sheetViews>
  <sheetFormatPr defaultColWidth="9.140625" defaultRowHeight="15.75" x14ac:dyDescent="0.2"/>
  <cols>
    <col min="1" max="1" width="61.7109375" style="169" customWidth="1"/>
    <col min="2" max="2" width="18.5703125" style="164" customWidth="1"/>
    <col min="3" max="13" width="16.85546875" style="164" customWidth="1"/>
    <col min="14" max="33" width="16.85546875" style="164" hidden="1" customWidth="1"/>
    <col min="34" max="233" width="9.140625" style="165"/>
    <col min="234" max="234" width="61.7109375" style="165" customWidth="1"/>
    <col min="235" max="235" width="18.5703125" style="165" customWidth="1"/>
    <col min="236" max="275" width="16.85546875" style="165" customWidth="1"/>
    <col min="276" max="277" width="18.5703125" style="165" customWidth="1"/>
    <col min="278" max="278" width="21.7109375" style="165" customWidth="1"/>
    <col min="279" max="489" width="9.140625" style="165"/>
    <col min="490" max="490" width="61.7109375" style="165" customWidth="1"/>
    <col min="491" max="491" width="18.5703125" style="165" customWidth="1"/>
    <col min="492" max="531" width="16.85546875" style="165" customWidth="1"/>
    <col min="532" max="533" width="18.5703125" style="165" customWidth="1"/>
    <col min="534" max="534" width="21.7109375" style="165" customWidth="1"/>
    <col min="535" max="745" width="9.140625" style="165"/>
    <col min="746" max="746" width="61.7109375" style="165" customWidth="1"/>
    <col min="747" max="747" width="18.5703125" style="165" customWidth="1"/>
    <col min="748" max="787" width="16.85546875" style="165" customWidth="1"/>
    <col min="788" max="789" width="18.5703125" style="165" customWidth="1"/>
    <col min="790" max="790" width="21.7109375" style="165" customWidth="1"/>
    <col min="791" max="1001" width="9.140625" style="165"/>
    <col min="1002" max="1002" width="61.7109375" style="165" customWidth="1"/>
    <col min="1003" max="1003" width="18.5703125" style="165" customWidth="1"/>
    <col min="1004" max="1043" width="16.85546875" style="165" customWidth="1"/>
    <col min="1044" max="1045" width="18.5703125" style="165" customWidth="1"/>
    <col min="1046" max="1046" width="21.7109375" style="165" customWidth="1"/>
    <col min="1047" max="1257" width="9.140625" style="165"/>
    <col min="1258" max="1258" width="61.7109375" style="165" customWidth="1"/>
    <col min="1259" max="1259" width="18.5703125" style="165" customWidth="1"/>
    <col min="1260" max="1299" width="16.85546875" style="165" customWidth="1"/>
    <col min="1300" max="1301" width="18.5703125" style="165" customWidth="1"/>
    <col min="1302" max="1302" width="21.7109375" style="165" customWidth="1"/>
    <col min="1303" max="1513" width="9.140625" style="165"/>
    <col min="1514" max="1514" width="61.7109375" style="165" customWidth="1"/>
    <col min="1515" max="1515" width="18.5703125" style="165" customWidth="1"/>
    <col min="1516" max="1555" width="16.85546875" style="165" customWidth="1"/>
    <col min="1556" max="1557" width="18.5703125" style="165" customWidth="1"/>
    <col min="1558" max="1558" width="21.7109375" style="165" customWidth="1"/>
    <col min="1559" max="1769" width="9.140625" style="165"/>
    <col min="1770" max="1770" width="61.7109375" style="165" customWidth="1"/>
    <col min="1771" max="1771" width="18.5703125" style="165" customWidth="1"/>
    <col min="1772" max="1811" width="16.85546875" style="165" customWidth="1"/>
    <col min="1812" max="1813" width="18.5703125" style="165" customWidth="1"/>
    <col min="1814" max="1814" width="21.7109375" style="165" customWidth="1"/>
    <col min="1815" max="2025" width="9.140625" style="165"/>
    <col min="2026" max="2026" width="61.7109375" style="165" customWidth="1"/>
    <col min="2027" max="2027" width="18.5703125" style="165" customWidth="1"/>
    <col min="2028" max="2067" width="16.85546875" style="165" customWidth="1"/>
    <col min="2068" max="2069" width="18.5703125" style="165" customWidth="1"/>
    <col min="2070" max="2070" width="21.7109375" style="165" customWidth="1"/>
    <col min="2071" max="2281" width="9.140625" style="165"/>
    <col min="2282" max="2282" width="61.7109375" style="165" customWidth="1"/>
    <col min="2283" max="2283" width="18.5703125" style="165" customWidth="1"/>
    <col min="2284" max="2323" width="16.85546875" style="165" customWidth="1"/>
    <col min="2324" max="2325" width="18.5703125" style="165" customWidth="1"/>
    <col min="2326" max="2326" width="21.7109375" style="165" customWidth="1"/>
    <col min="2327" max="2537" width="9.140625" style="165"/>
    <col min="2538" max="2538" width="61.7109375" style="165" customWidth="1"/>
    <col min="2539" max="2539" width="18.5703125" style="165" customWidth="1"/>
    <col min="2540" max="2579" width="16.85546875" style="165" customWidth="1"/>
    <col min="2580" max="2581" width="18.5703125" style="165" customWidth="1"/>
    <col min="2582" max="2582" width="21.7109375" style="165" customWidth="1"/>
    <col min="2583" max="2793" width="9.140625" style="165"/>
    <col min="2794" max="2794" width="61.7109375" style="165" customWidth="1"/>
    <col min="2795" max="2795" width="18.5703125" style="165" customWidth="1"/>
    <col min="2796" max="2835" width="16.85546875" style="165" customWidth="1"/>
    <col min="2836" max="2837" width="18.5703125" style="165" customWidth="1"/>
    <col min="2838" max="2838" width="21.7109375" style="165" customWidth="1"/>
    <col min="2839" max="3049" width="9.140625" style="165"/>
    <col min="3050" max="3050" width="61.7109375" style="165" customWidth="1"/>
    <col min="3051" max="3051" width="18.5703125" style="165" customWidth="1"/>
    <col min="3052" max="3091" width="16.85546875" style="165" customWidth="1"/>
    <col min="3092" max="3093" width="18.5703125" style="165" customWidth="1"/>
    <col min="3094" max="3094" width="21.7109375" style="165" customWidth="1"/>
    <col min="3095" max="3305" width="9.140625" style="165"/>
    <col min="3306" max="3306" width="61.7109375" style="165" customWidth="1"/>
    <col min="3307" max="3307" width="18.5703125" style="165" customWidth="1"/>
    <col min="3308" max="3347" width="16.85546875" style="165" customWidth="1"/>
    <col min="3348" max="3349" width="18.5703125" style="165" customWidth="1"/>
    <col min="3350" max="3350" width="21.7109375" style="165" customWidth="1"/>
    <col min="3351" max="3561" width="9.140625" style="165"/>
    <col min="3562" max="3562" width="61.7109375" style="165" customWidth="1"/>
    <col min="3563" max="3563" width="18.5703125" style="165" customWidth="1"/>
    <col min="3564" max="3603" width="16.85546875" style="165" customWidth="1"/>
    <col min="3604" max="3605" width="18.5703125" style="165" customWidth="1"/>
    <col min="3606" max="3606" width="21.7109375" style="165" customWidth="1"/>
    <col min="3607" max="3817" width="9.140625" style="165"/>
    <col min="3818" max="3818" width="61.7109375" style="165" customWidth="1"/>
    <col min="3819" max="3819" width="18.5703125" style="165" customWidth="1"/>
    <col min="3820" max="3859" width="16.85546875" style="165" customWidth="1"/>
    <col min="3860" max="3861" width="18.5703125" style="165" customWidth="1"/>
    <col min="3862" max="3862" width="21.7109375" style="165" customWidth="1"/>
    <col min="3863" max="4073" width="9.140625" style="165"/>
    <col min="4074" max="4074" width="61.7109375" style="165" customWidth="1"/>
    <col min="4075" max="4075" width="18.5703125" style="165" customWidth="1"/>
    <col min="4076" max="4115" width="16.85546875" style="165" customWidth="1"/>
    <col min="4116" max="4117" width="18.5703125" style="165" customWidth="1"/>
    <col min="4118" max="4118" width="21.7109375" style="165" customWidth="1"/>
    <col min="4119" max="4329" width="9.140625" style="165"/>
    <col min="4330" max="4330" width="61.7109375" style="165" customWidth="1"/>
    <col min="4331" max="4331" width="18.5703125" style="165" customWidth="1"/>
    <col min="4332" max="4371" width="16.85546875" style="165" customWidth="1"/>
    <col min="4372" max="4373" width="18.5703125" style="165" customWidth="1"/>
    <col min="4374" max="4374" width="21.7109375" style="165" customWidth="1"/>
    <col min="4375" max="4585" width="9.140625" style="165"/>
    <col min="4586" max="4586" width="61.7109375" style="165" customWidth="1"/>
    <col min="4587" max="4587" width="18.5703125" style="165" customWidth="1"/>
    <col min="4588" max="4627" width="16.85546875" style="165" customWidth="1"/>
    <col min="4628" max="4629" width="18.5703125" style="165" customWidth="1"/>
    <col min="4630" max="4630" width="21.7109375" style="165" customWidth="1"/>
    <col min="4631" max="4841" width="9.140625" style="165"/>
    <col min="4842" max="4842" width="61.7109375" style="165" customWidth="1"/>
    <col min="4843" max="4843" width="18.5703125" style="165" customWidth="1"/>
    <col min="4844" max="4883" width="16.85546875" style="165" customWidth="1"/>
    <col min="4884" max="4885" width="18.5703125" style="165" customWidth="1"/>
    <col min="4886" max="4886" width="21.7109375" style="165" customWidth="1"/>
    <col min="4887" max="5097" width="9.140625" style="165"/>
    <col min="5098" max="5098" width="61.7109375" style="165" customWidth="1"/>
    <col min="5099" max="5099" width="18.5703125" style="165" customWidth="1"/>
    <col min="5100" max="5139" width="16.85546875" style="165" customWidth="1"/>
    <col min="5140" max="5141" width="18.5703125" style="165" customWidth="1"/>
    <col min="5142" max="5142" width="21.7109375" style="165" customWidth="1"/>
    <col min="5143" max="5353" width="9.140625" style="165"/>
    <col min="5354" max="5354" width="61.7109375" style="165" customWidth="1"/>
    <col min="5355" max="5355" width="18.5703125" style="165" customWidth="1"/>
    <col min="5356" max="5395" width="16.85546875" style="165" customWidth="1"/>
    <col min="5396" max="5397" width="18.5703125" style="165" customWidth="1"/>
    <col min="5398" max="5398" width="21.7109375" style="165" customWidth="1"/>
    <col min="5399" max="5609" width="9.140625" style="165"/>
    <col min="5610" max="5610" width="61.7109375" style="165" customWidth="1"/>
    <col min="5611" max="5611" width="18.5703125" style="165" customWidth="1"/>
    <col min="5612" max="5651" width="16.85546875" style="165" customWidth="1"/>
    <col min="5652" max="5653" width="18.5703125" style="165" customWidth="1"/>
    <col min="5654" max="5654" width="21.7109375" style="165" customWidth="1"/>
    <col min="5655" max="5865" width="9.140625" style="165"/>
    <col min="5866" max="5866" width="61.7109375" style="165" customWidth="1"/>
    <col min="5867" max="5867" width="18.5703125" style="165" customWidth="1"/>
    <col min="5868" max="5907" width="16.85546875" style="165" customWidth="1"/>
    <col min="5908" max="5909" width="18.5703125" style="165" customWidth="1"/>
    <col min="5910" max="5910" width="21.7109375" style="165" customWidth="1"/>
    <col min="5911" max="6121" width="9.140625" style="165"/>
    <col min="6122" max="6122" width="61.7109375" style="165" customWidth="1"/>
    <col min="6123" max="6123" width="18.5703125" style="165" customWidth="1"/>
    <col min="6124" max="6163" width="16.85546875" style="165" customWidth="1"/>
    <col min="6164" max="6165" width="18.5703125" style="165" customWidth="1"/>
    <col min="6166" max="6166" width="21.7109375" style="165" customWidth="1"/>
    <col min="6167" max="6377" width="9.140625" style="165"/>
    <col min="6378" max="6378" width="61.7109375" style="165" customWidth="1"/>
    <col min="6379" max="6379" width="18.5703125" style="165" customWidth="1"/>
    <col min="6380" max="6419" width="16.85546875" style="165" customWidth="1"/>
    <col min="6420" max="6421" width="18.5703125" style="165" customWidth="1"/>
    <col min="6422" max="6422" width="21.7109375" style="165" customWidth="1"/>
    <col min="6423" max="6633" width="9.140625" style="165"/>
    <col min="6634" max="6634" width="61.7109375" style="165" customWidth="1"/>
    <col min="6635" max="6635" width="18.5703125" style="165" customWidth="1"/>
    <col min="6636" max="6675" width="16.85546875" style="165" customWidth="1"/>
    <col min="6676" max="6677" width="18.5703125" style="165" customWidth="1"/>
    <col min="6678" max="6678" width="21.7109375" style="165" customWidth="1"/>
    <col min="6679" max="6889" width="9.140625" style="165"/>
    <col min="6890" max="6890" width="61.7109375" style="165" customWidth="1"/>
    <col min="6891" max="6891" width="18.5703125" style="165" customWidth="1"/>
    <col min="6892" max="6931" width="16.85546875" style="165" customWidth="1"/>
    <col min="6932" max="6933" width="18.5703125" style="165" customWidth="1"/>
    <col min="6934" max="6934" width="21.7109375" style="165" customWidth="1"/>
    <col min="6935" max="7145" width="9.140625" style="165"/>
    <col min="7146" max="7146" width="61.7109375" style="165" customWidth="1"/>
    <col min="7147" max="7147" width="18.5703125" style="165" customWidth="1"/>
    <col min="7148" max="7187" width="16.85546875" style="165" customWidth="1"/>
    <col min="7188" max="7189" width="18.5703125" style="165" customWidth="1"/>
    <col min="7190" max="7190" width="21.7109375" style="165" customWidth="1"/>
    <col min="7191" max="7401" width="9.140625" style="165"/>
    <col min="7402" max="7402" width="61.7109375" style="165" customWidth="1"/>
    <col min="7403" max="7403" width="18.5703125" style="165" customWidth="1"/>
    <col min="7404" max="7443" width="16.85546875" style="165" customWidth="1"/>
    <col min="7444" max="7445" width="18.5703125" style="165" customWidth="1"/>
    <col min="7446" max="7446" width="21.7109375" style="165" customWidth="1"/>
    <col min="7447" max="7657" width="9.140625" style="165"/>
    <col min="7658" max="7658" width="61.7109375" style="165" customWidth="1"/>
    <col min="7659" max="7659" width="18.5703125" style="165" customWidth="1"/>
    <col min="7660" max="7699" width="16.85546875" style="165" customWidth="1"/>
    <col min="7700" max="7701" width="18.5703125" style="165" customWidth="1"/>
    <col min="7702" max="7702" width="21.7109375" style="165" customWidth="1"/>
    <col min="7703" max="7913" width="9.140625" style="165"/>
    <col min="7914" max="7914" width="61.7109375" style="165" customWidth="1"/>
    <col min="7915" max="7915" width="18.5703125" style="165" customWidth="1"/>
    <col min="7916" max="7955" width="16.85546875" style="165" customWidth="1"/>
    <col min="7956" max="7957" width="18.5703125" style="165" customWidth="1"/>
    <col min="7958" max="7958" width="21.7109375" style="165" customWidth="1"/>
    <col min="7959" max="8169" width="9.140625" style="165"/>
    <col min="8170" max="8170" width="61.7109375" style="165" customWidth="1"/>
    <col min="8171" max="8171" width="18.5703125" style="165" customWidth="1"/>
    <col min="8172" max="8211" width="16.85546875" style="165" customWidth="1"/>
    <col min="8212" max="8213" width="18.5703125" style="165" customWidth="1"/>
    <col min="8214" max="8214" width="21.7109375" style="165" customWidth="1"/>
    <col min="8215" max="8425" width="9.140625" style="165"/>
    <col min="8426" max="8426" width="61.7109375" style="165" customWidth="1"/>
    <col min="8427" max="8427" width="18.5703125" style="165" customWidth="1"/>
    <col min="8428" max="8467" width="16.85546875" style="165" customWidth="1"/>
    <col min="8468" max="8469" width="18.5703125" style="165" customWidth="1"/>
    <col min="8470" max="8470" width="21.7109375" style="165" customWidth="1"/>
    <col min="8471" max="8681" width="9.140625" style="165"/>
    <col min="8682" max="8682" width="61.7109375" style="165" customWidth="1"/>
    <col min="8683" max="8683" width="18.5703125" style="165" customWidth="1"/>
    <col min="8684" max="8723" width="16.85546875" style="165" customWidth="1"/>
    <col min="8724" max="8725" width="18.5703125" style="165" customWidth="1"/>
    <col min="8726" max="8726" width="21.7109375" style="165" customWidth="1"/>
    <col min="8727" max="8937" width="9.140625" style="165"/>
    <col min="8938" max="8938" width="61.7109375" style="165" customWidth="1"/>
    <col min="8939" max="8939" width="18.5703125" style="165" customWidth="1"/>
    <col min="8940" max="8979" width="16.85546875" style="165" customWidth="1"/>
    <col min="8980" max="8981" width="18.5703125" style="165" customWidth="1"/>
    <col min="8982" max="8982" width="21.7109375" style="165" customWidth="1"/>
    <col min="8983" max="9193" width="9.140625" style="165"/>
    <col min="9194" max="9194" width="61.7109375" style="165" customWidth="1"/>
    <col min="9195" max="9195" width="18.5703125" style="165" customWidth="1"/>
    <col min="9196" max="9235" width="16.85546875" style="165" customWidth="1"/>
    <col min="9236" max="9237" width="18.5703125" style="165" customWidth="1"/>
    <col min="9238" max="9238" width="21.7109375" style="165" customWidth="1"/>
    <col min="9239" max="9449" width="9.140625" style="165"/>
    <col min="9450" max="9450" width="61.7109375" style="165" customWidth="1"/>
    <col min="9451" max="9451" width="18.5703125" style="165" customWidth="1"/>
    <col min="9452" max="9491" width="16.85546875" style="165" customWidth="1"/>
    <col min="9492" max="9493" width="18.5703125" style="165" customWidth="1"/>
    <col min="9494" max="9494" width="21.7109375" style="165" customWidth="1"/>
    <col min="9495" max="9705" width="9.140625" style="165"/>
    <col min="9706" max="9706" width="61.7109375" style="165" customWidth="1"/>
    <col min="9707" max="9707" width="18.5703125" style="165" customWidth="1"/>
    <col min="9708" max="9747" width="16.85546875" style="165" customWidth="1"/>
    <col min="9748" max="9749" width="18.5703125" style="165" customWidth="1"/>
    <col min="9750" max="9750" width="21.7109375" style="165" customWidth="1"/>
    <col min="9751" max="9961" width="9.140625" style="165"/>
    <col min="9962" max="9962" width="61.7109375" style="165" customWidth="1"/>
    <col min="9963" max="9963" width="18.5703125" style="165" customWidth="1"/>
    <col min="9964" max="10003" width="16.85546875" style="165" customWidth="1"/>
    <col min="10004" max="10005" width="18.5703125" style="165" customWidth="1"/>
    <col min="10006" max="10006" width="21.7109375" style="165" customWidth="1"/>
    <col min="10007" max="10217" width="9.140625" style="165"/>
    <col min="10218" max="10218" width="61.7109375" style="165" customWidth="1"/>
    <col min="10219" max="10219" width="18.5703125" style="165" customWidth="1"/>
    <col min="10220" max="10259" width="16.85546875" style="165" customWidth="1"/>
    <col min="10260" max="10261" width="18.5703125" style="165" customWidth="1"/>
    <col min="10262" max="10262" width="21.7109375" style="165" customWidth="1"/>
    <col min="10263" max="10473" width="9.140625" style="165"/>
    <col min="10474" max="10474" width="61.7109375" style="165" customWidth="1"/>
    <col min="10475" max="10475" width="18.5703125" style="165" customWidth="1"/>
    <col min="10476" max="10515" width="16.85546875" style="165" customWidth="1"/>
    <col min="10516" max="10517" width="18.5703125" style="165" customWidth="1"/>
    <col min="10518" max="10518" width="21.7109375" style="165" customWidth="1"/>
    <col min="10519" max="10729" width="9.140625" style="165"/>
    <col min="10730" max="10730" width="61.7109375" style="165" customWidth="1"/>
    <col min="10731" max="10731" width="18.5703125" style="165" customWidth="1"/>
    <col min="10732" max="10771" width="16.85546875" style="165" customWidth="1"/>
    <col min="10772" max="10773" width="18.5703125" style="165" customWidth="1"/>
    <col min="10774" max="10774" width="21.7109375" style="165" customWidth="1"/>
    <col min="10775" max="10985" width="9.140625" style="165"/>
    <col min="10986" max="10986" width="61.7109375" style="165" customWidth="1"/>
    <col min="10987" max="10987" width="18.5703125" style="165" customWidth="1"/>
    <col min="10988" max="11027" width="16.85546875" style="165" customWidth="1"/>
    <col min="11028" max="11029" width="18.5703125" style="165" customWidth="1"/>
    <col min="11030" max="11030" width="21.7109375" style="165" customWidth="1"/>
    <col min="11031" max="11241" width="9.140625" style="165"/>
    <col min="11242" max="11242" width="61.7109375" style="165" customWidth="1"/>
    <col min="11243" max="11243" width="18.5703125" style="165" customWidth="1"/>
    <col min="11244" max="11283" width="16.85546875" style="165" customWidth="1"/>
    <col min="11284" max="11285" width="18.5703125" style="165" customWidth="1"/>
    <col min="11286" max="11286" width="21.7109375" style="165" customWidth="1"/>
    <col min="11287" max="11497" width="9.140625" style="165"/>
    <col min="11498" max="11498" width="61.7109375" style="165" customWidth="1"/>
    <col min="11499" max="11499" width="18.5703125" style="165" customWidth="1"/>
    <col min="11500" max="11539" width="16.85546875" style="165" customWidth="1"/>
    <col min="11540" max="11541" width="18.5703125" style="165" customWidth="1"/>
    <col min="11542" max="11542" width="21.7109375" style="165" customWidth="1"/>
    <col min="11543" max="11753" width="9.140625" style="165"/>
    <col min="11754" max="11754" width="61.7109375" style="165" customWidth="1"/>
    <col min="11755" max="11755" width="18.5703125" style="165" customWidth="1"/>
    <col min="11756" max="11795" width="16.85546875" style="165" customWidth="1"/>
    <col min="11796" max="11797" width="18.5703125" style="165" customWidth="1"/>
    <col min="11798" max="11798" width="21.7109375" style="165" customWidth="1"/>
    <col min="11799" max="12009" width="9.140625" style="165"/>
    <col min="12010" max="12010" width="61.7109375" style="165" customWidth="1"/>
    <col min="12011" max="12011" width="18.5703125" style="165" customWidth="1"/>
    <col min="12012" max="12051" width="16.85546875" style="165" customWidth="1"/>
    <col min="12052" max="12053" width="18.5703125" style="165" customWidth="1"/>
    <col min="12054" max="12054" width="21.7109375" style="165" customWidth="1"/>
    <col min="12055" max="12265" width="9.140625" style="165"/>
    <col min="12266" max="12266" width="61.7109375" style="165" customWidth="1"/>
    <col min="12267" max="12267" width="18.5703125" style="165" customWidth="1"/>
    <col min="12268" max="12307" width="16.85546875" style="165" customWidth="1"/>
    <col min="12308" max="12309" width="18.5703125" style="165" customWidth="1"/>
    <col min="12310" max="12310" width="21.7109375" style="165" customWidth="1"/>
    <col min="12311" max="12521" width="9.140625" style="165"/>
    <col min="12522" max="12522" width="61.7109375" style="165" customWidth="1"/>
    <col min="12523" max="12523" width="18.5703125" style="165" customWidth="1"/>
    <col min="12524" max="12563" width="16.85546875" style="165" customWidth="1"/>
    <col min="12564" max="12565" width="18.5703125" style="165" customWidth="1"/>
    <col min="12566" max="12566" width="21.7109375" style="165" customWidth="1"/>
    <col min="12567" max="12777" width="9.140625" style="165"/>
    <col min="12778" max="12778" width="61.7109375" style="165" customWidth="1"/>
    <col min="12779" max="12779" width="18.5703125" style="165" customWidth="1"/>
    <col min="12780" max="12819" width="16.85546875" style="165" customWidth="1"/>
    <col min="12820" max="12821" width="18.5703125" style="165" customWidth="1"/>
    <col min="12822" max="12822" width="21.7109375" style="165" customWidth="1"/>
    <col min="12823" max="13033" width="9.140625" style="165"/>
    <col min="13034" max="13034" width="61.7109375" style="165" customWidth="1"/>
    <col min="13035" max="13035" width="18.5703125" style="165" customWidth="1"/>
    <col min="13036" max="13075" width="16.85546875" style="165" customWidth="1"/>
    <col min="13076" max="13077" width="18.5703125" style="165" customWidth="1"/>
    <col min="13078" max="13078" width="21.7109375" style="165" customWidth="1"/>
    <col min="13079" max="13289" width="9.140625" style="165"/>
    <col min="13290" max="13290" width="61.7109375" style="165" customWidth="1"/>
    <col min="13291" max="13291" width="18.5703125" style="165" customWidth="1"/>
    <col min="13292" max="13331" width="16.85546875" style="165" customWidth="1"/>
    <col min="13332" max="13333" width="18.5703125" style="165" customWidth="1"/>
    <col min="13334" max="13334" width="21.7109375" style="165" customWidth="1"/>
    <col min="13335" max="13545" width="9.140625" style="165"/>
    <col min="13546" max="13546" width="61.7109375" style="165" customWidth="1"/>
    <col min="13547" max="13547" width="18.5703125" style="165" customWidth="1"/>
    <col min="13548" max="13587" width="16.85546875" style="165" customWidth="1"/>
    <col min="13588" max="13589" width="18.5703125" style="165" customWidth="1"/>
    <col min="13590" max="13590" width="21.7109375" style="165" customWidth="1"/>
    <col min="13591" max="13801" width="9.140625" style="165"/>
    <col min="13802" max="13802" width="61.7109375" style="165" customWidth="1"/>
    <col min="13803" max="13803" width="18.5703125" style="165" customWidth="1"/>
    <col min="13804" max="13843" width="16.85546875" style="165" customWidth="1"/>
    <col min="13844" max="13845" width="18.5703125" style="165" customWidth="1"/>
    <col min="13846" max="13846" width="21.7109375" style="165" customWidth="1"/>
    <col min="13847" max="14057" width="9.140625" style="165"/>
    <col min="14058" max="14058" width="61.7109375" style="165" customWidth="1"/>
    <col min="14059" max="14059" width="18.5703125" style="165" customWidth="1"/>
    <col min="14060" max="14099" width="16.85546875" style="165" customWidth="1"/>
    <col min="14100" max="14101" width="18.5703125" style="165" customWidth="1"/>
    <col min="14102" max="14102" width="21.7109375" style="165" customWidth="1"/>
    <col min="14103" max="14313" width="9.140625" style="165"/>
    <col min="14314" max="14314" width="61.7109375" style="165" customWidth="1"/>
    <col min="14315" max="14315" width="18.5703125" style="165" customWidth="1"/>
    <col min="14316" max="14355" width="16.85546875" style="165" customWidth="1"/>
    <col min="14356" max="14357" width="18.5703125" style="165" customWidth="1"/>
    <col min="14358" max="14358" width="21.7109375" style="165" customWidth="1"/>
    <col min="14359" max="14569" width="9.140625" style="165"/>
    <col min="14570" max="14570" width="61.7109375" style="165" customWidth="1"/>
    <col min="14571" max="14571" width="18.5703125" style="165" customWidth="1"/>
    <col min="14572" max="14611" width="16.85546875" style="165" customWidth="1"/>
    <col min="14612" max="14613" width="18.5703125" style="165" customWidth="1"/>
    <col min="14614" max="14614" width="21.7109375" style="165" customWidth="1"/>
    <col min="14615" max="14825" width="9.140625" style="165"/>
    <col min="14826" max="14826" width="61.7109375" style="165" customWidth="1"/>
    <col min="14827" max="14827" width="18.5703125" style="165" customWidth="1"/>
    <col min="14828" max="14867" width="16.85546875" style="165" customWidth="1"/>
    <col min="14868" max="14869" width="18.5703125" style="165" customWidth="1"/>
    <col min="14870" max="14870" width="21.7109375" style="165" customWidth="1"/>
    <col min="14871" max="15081" width="9.140625" style="165"/>
    <col min="15082" max="15082" width="61.7109375" style="165" customWidth="1"/>
    <col min="15083" max="15083" width="18.5703125" style="165" customWidth="1"/>
    <col min="15084" max="15123" width="16.85546875" style="165" customWidth="1"/>
    <col min="15124" max="15125" width="18.5703125" style="165" customWidth="1"/>
    <col min="15126" max="15126" width="21.7109375" style="165" customWidth="1"/>
    <col min="15127" max="15337" width="9.140625" style="165"/>
    <col min="15338" max="15338" width="61.7109375" style="165" customWidth="1"/>
    <col min="15339" max="15339" width="18.5703125" style="165" customWidth="1"/>
    <col min="15340" max="15379" width="16.85546875" style="165" customWidth="1"/>
    <col min="15380" max="15381" width="18.5703125" style="165" customWidth="1"/>
    <col min="15382" max="15382" width="21.7109375" style="165" customWidth="1"/>
    <col min="15383" max="15593" width="9.140625" style="165"/>
    <col min="15594" max="15594" width="61.7109375" style="165" customWidth="1"/>
    <col min="15595" max="15595" width="18.5703125" style="165" customWidth="1"/>
    <col min="15596" max="15635" width="16.85546875" style="165" customWidth="1"/>
    <col min="15636" max="15637" width="18.5703125" style="165" customWidth="1"/>
    <col min="15638" max="15638" width="21.7109375" style="165" customWidth="1"/>
    <col min="15639" max="15849" width="9.140625" style="165"/>
    <col min="15850" max="15850" width="61.7109375" style="165" customWidth="1"/>
    <col min="15851" max="15851" width="18.5703125" style="165" customWidth="1"/>
    <col min="15852" max="15891" width="16.85546875" style="165" customWidth="1"/>
    <col min="15892" max="15893" width="18.5703125" style="165" customWidth="1"/>
    <col min="15894" max="15894" width="21.7109375" style="165" customWidth="1"/>
    <col min="15895" max="16105" width="9.140625" style="165"/>
    <col min="16106" max="16106" width="61.7109375" style="165" customWidth="1"/>
    <col min="16107" max="16107" width="18.5703125" style="165" customWidth="1"/>
    <col min="16108" max="16147" width="16.85546875" style="165" customWidth="1"/>
    <col min="16148" max="16149" width="18.5703125" style="165" customWidth="1"/>
    <col min="16150" max="16150" width="21.7109375" style="165" customWidth="1"/>
    <col min="16151" max="16384" width="9.140625" style="165"/>
  </cols>
  <sheetData>
    <row r="1" spans="1:33"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65"/>
      <c r="F3" s="165"/>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67" t="str">
        <f>'1. паспорт местоположение'!A5:C5</f>
        <v>Год раскрытия информации: 2022 год</v>
      </c>
      <c r="B5" s="467"/>
      <c r="C5" s="467"/>
      <c r="D5" s="467"/>
      <c r="E5" s="467"/>
      <c r="F5" s="467"/>
      <c r="G5" s="467"/>
      <c r="H5" s="467"/>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01" t="s">
        <v>7</v>
      </c>
      <c r="B7" s="401"/>
      <c r="C7" s="401"/>
      <c r="D7" s="401"/>
      <c r="E7" s="401"/>
      <c r="F7" s="401"/>
      <c r="G7" s="401"/>
      <c r="H7" s="401"/>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row>
    <row r="8" spans="1:33" ht="18.75" x14ac:dyDescent="0.2">
      <c r="A8" s="345"/>
      <c r="B8" s="345"/>
      <c r="C8" s="345"/>
      <c r="D8" s="345"/>
      <c r="E8" s="345"/>
      <c r="F8" s="345"/>
      <c r="G8" s="345"/>
      <c r="H8" s="345"/>
      <c r="I8" s="345"/>
      <c r="J8" s="345"/>
      <c r="K8" s="345"/>
      <c r="L8" s="150"/>
      <c r="M8" s="150"/>
      <c r="N8" s="150"/>
      <c r="O8" s="150"/>
      <c r="P8" s="150"/>
      <c r="Q8" s="150"/>
      <c r="R8" s="150"/>
      <c r="S8" s="150"/>
      <c r="T8" s="150"/>
      <c r="U8" s="150"/>
      <c r="V8" s="150"/>
      <c r="W8" s="150"/>
      <c r="X8" s="150"/>
      <c r="Y8" s="150"/>
      <c r="Z8" s="11"/>
      <c r="AA8" s="11"/>
      <c r="AB8" s="11"/>
      <c r="AC8" s="11"/>
      <c r="AD8" s="11"/>
      <c r="AE8" s="11"/>
      <c r="AF8" s="11"/>
      <c r="AG8" s="11"/>
    </row>
    <row r="9" spans="1:33" ht="18.75" x14ac:dyDescent="0.2">
      <c r="A9" s="432" t="str">
        <f>'1. паспорт местоположение'!A9:C9</f>
        <v>Акционерное общество "Янтарьэнерго" ДЗО  ПАО "Россети"</v>
      </c>
      <c r="B9" s="432"/>
      <c r="C9" s="432"/>
      <c r="D9" s="432"/>
      <c r="E9" s="432"/>
      <c r="F9" s="432"/>
      <c r="G9" s="432"/>
      <c r="H9" s="432"/>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row>
    <row r="10" spans="1:33" x14ac:dyDescent="0.2">
      <c r="A10" s="406" t="s">
        <v>6</v>
      </c>
      <c r="B10" s="406"/>
      <c r="C10" s="406"/>
      <c r="D10" s="406"/>
      <c r="E10" s="406"/>
      <c r="F10" s="406"/>
      <c r="G10" s="406"/>
      <c r="H10" s="406"/>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row>
    <row r="11" spans="1:33" ht="18.75" x14ac:dyDescent="0.2">
      <c r="A11" s="345"/>
      <c r="B11" s="345"/>
      <c r="C11" s="345"/>
      <c r="D11" s="345"/>
      <c r="E11" s="345"/>
      <c r="F11" s="345"/>
      <c r="G11" s="345"/>
      <c r="H11" s="345"/>
      <c r="I11" s="345"/>
      <c r="J11" s="345"/>
      <c r="K11" s="345"/>
      <c r="L11" s="150"/>
      <c r="M11" s="150"/>
      <c r="N11" s="150"/>
      <c r="O11" s="150"/>
      <c r="P11" s="150"/>
      <c r="Q11" s="150"/>
      <c r="R11" s="150"/>
      <c r="S11" s="150"/>
      <c r="T11" s="150"/>
      <c r="U11" s="150"/>
      <c r="V11" s="150"/>
      <c r="W11" s="150"/>
      <c r="X11" s="150"/>
      <c r="Y11" s="150"/>
      <c r="Z11" s="11"/>
      <c r="AA11" s="11"/>
      <c r="AB11" s="11"/>
      <c r="AC11" s="11"/>
      <c r="AD11" s="11"/>
      <c r="AE11" s="11"/>
      <c r="AF11" s="11"/>
      <c r="AG11" s="11"/>
    </row>
    <row r="12" spans="1:33" ht="18.75" x14ac:dyDescent="0.2">
      <c r="A12" s="432" t="str">
        <f>'1. паспорт местоположение'!A12:C12</f>
        <v>K_18-1115</v>
      </c>
      <c r="B12" s="432"/>
      <c r="C12" s="432"/>
      <c r="D12" s="432"/>
      <c r="E12" s="432"/>
      <c r="F12" s="432"/>
      <c r="G12" s="432"/>
      <c r="H12" s="432"/>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row>
    <row r="13" spans="1:33" x14ac:dyDescent="0.2">
      <c r="A13" s="406" t="s">
        <v>5</v>
      </c>
      <c r="B13" s="406"/>
      <c r="C13" s="406"/>
      <c r="D13" s="406"/>
      <c r="E13" s="406"/>
      <c r="F13" s="406"/>
      <c r="G13" s="406"/>
      <c r="H13" s="406"/>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row>
    <row r="14" spans="1:33"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8"/>
      <c r="AA14" s="8"/>
      <c r="AB14" s="8"/>
      <c r="AC14" s="8"/>
      <c r="AD14" s="8"/>
      <c r="AE14" s="8"/>
      <c r="AF14" s="8"/>
      <c r="AG14" s="8"/>
    </row>
    <row r="15" spans="1:33" ht="44.25" customHeight="1" x14ac:dyDescent="0.2">
      <c r="A15" s="468" t="str">
        <f>'1. паспорт местоположение'!A15:C15</f>
        <v>Строительство КТП 10/0,4 кВ (новой), КЛ-10 кВ и КЛ-1 от КТП (новой) по ул. Портовая-Ленинский проспект, реконструкция ТП-775 (инв. № 5458635) в г. Калининграде</v>
      </c>
      <c r="B15" s="410"/>
      <c r="C15" s="410"/>
      <c r="D15" s="410"/>
      <c r="E15" s="410"/>
      <c r="F15" s="410"/>
      <c r="G15" s="410"/>
      <c r="H15" s="410"/>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row>
    <row r="16" spans="1:33" x14ac:dyDescent="0.2">
      <c r="A16" s="406" t="s">
        <v>4</v>
      </c>
      <c r="B16" s="406"/>
      <c r="C16" s="406"/>
      <c r="D16" s="406"/>
      <c r="E16" s="406"/>
      <c r="F16" s="406"/>
      <c r="G16" s="406"/>
      <c r="H16" s="406"/>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row>
    <row r="17" spans="1:33" ht="18.75" x14ac:dyDescent="0.2">
      <c r="A17" s="347"/>
      <c r="B17" s="347"/>
      <c r="C17" s="347"/>
      <c r="D17" s="347"/>
      <c r="E17" s="347"/>
      <c r="F17" s="347"/>
      <c r="G17" s="347"/>
      <c r="H17" s="347"/>
      <c r="I17" s="347"/>
      <c r="J17" s="347"/>
      <c r="K17" s="347"/>
      <c r="L17" s="347"/>
      <c r="M17" s="347"/>
      <c r="N17" s="347"/>
      <c r="O17" s="347"/>
      <c r="P17" s="347"/>
      <c r="Q17" s="347"/>
      <c r="R17" s="347"/>
      <c r="S17" s="347"/>
      <c r="T17" s="347"/>
      <c r="U17" s="347"/>
      <c r="V17" s="347"/>
      <c r="W17" s="3"/>
      <c r="X17" s="3"/>
      <c r="Y17" s="3"/>
      <c r="Z17" s="3"/>
      <c r="AA17" s="3"/>
      <c r="AB17" s="3"/>
      <c r="AC17" s="3"/>
      <c r="AD17" s="3"/>
      <c r="AE17" s="3"/>
      <c r="AF17" s="3"/>
      <c r="AG17" s="3"/>
    </row>
    <row r="18" spans="1:33" ht="18.75" x14ac:dyDescent="0.2">
      <c r="A18" s="432" t="s">
        <v>492</v>
      </c>
      <c r="B18" s="432"/>
      <c r="C18" s="432"/>
      <c r="D18" s="432"/>
      <c r="E18" s="432"/>
      <c r="F18" s="432"/>
      <c r="G18" s="432"/>
      <c r="H18" s="432"/>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67"/>
      <c r="Q19" s="168"/>
    </row>
    <row r="20" spans="1:33" x14ac:dyDescent="0.2">
      <c r="A20" s="167"/>
      <c r="Q20" s="168"/>
    </row>
    <row r="21" spans="1:33" x14ac:dyDescent="0.2">
      <c r="A21" s="167"/>
      <c r="Q21" s="168"/>
    </row>
    <row r="22" spans="1:33" x14ac:dyDescent="0.2">
      <c r="A22" s="167"/>
      <c r="Q22" s="168"/>
    </row>
    <row r="23" spans="1:33" x14ac:dyDescent="0.2">
      <c r="D23" s="170"/>
      <c r="Q23" s="168"/>
    </row>
    <row r="24" spans="1:33" ht="16.5" thickBot="1" x14ac:dyDescent="0.25">
      <c r="A24" s="171" t="s">
        <v>343</v>
      </c>
      <c r="B24" s="172" t="s">
        <v>1</v>
      </c>
      <c r="D24" s="173"/>
      <c r="E24" s="174"/>
      <c r="F24" s="174"/>
      <c r="G24" s="174"/>
      <c r="H24" s="174"/>
    </row>
    <row r="25" spans="1:33" x14ac:dyDescent="0.2">
      <c r="A25" s="175" t="s">
        <v>531</v>
      </c>
      <c r="B25" s="176">
        <f>'6.2. Паспорт фин осв ввод'!U52*1000000</f>
        <v>3086893.62</v>
      </c>
    </row>
    <row r="26" spans="1:33" x14ac:dyDescent="0.2">
      <c r="A26" s="177" t="s">
        <v>341</v>
      </c>
      <c r="B26" s="178">
        <v>0</v>
      </c>
    </row>
    <row r="27" spans="1:33" x14ac:dyDescent="0.2">
      <c r="A27" s="177" t="s">
        <v>339</v>
      </c>
      <c r="B27" s="178">
        <v>30</v>
      </c>
      <c r="D27" s="170" t="s">
        <v>342</v>
      </c>
    </row>
    <row r="28" spans="1:33" ht="16.149999999999999" customHeight="1" thickBot="1" x14ac:dyDescent="0.25">
      <c r="A28" s="179" t="s">
        <v>337</v>
      </c>
      <c r="B28" s="180">
        <v>1</v>
      </c>
      <c r="D28" s="454" t="s">
        <v>340</v>
      </c>
      <c r="E28" s="455"/>
      <c r="F28" s="456"/>
      <c r="G28" s="465">
        <f>IF(SUM(B89:L89)=0,"не окупается",SUM(B89:L89))</f>
        <v>2.9201681628268452</v>
      </c>
      <c r="H28" s="466"/>
    </row>
    <row r="29" spans="1:33" ht="15.6" customHeight="1" x14ac:dyDescent="0.2">
      <c r="A29" s="175" t="s">
        <v>335</v>
      </c>
      <c r="B29" s="176">
        <f>B25*0.01</f>
        <v>30868.9362</v>
      </c>
      <c r="D29" s="454" t="s">
        <v>338</v>
      </c>
      <c r="E29" s="455"/>
      <c r="F29" s="456"/>
      <c r="G29" s="465">
        <f>IF(SUM(B90:L90)=0,"не окупается",SUM(B90:L90))</f>
        <v>3.0670832496180092</v>
      </c>
      <c r="H29" s="466"/>
    </row>
    <row r="30" spans="1:33" ht="27.6" customHeight="1" x14ac:dyDescent="0.2">
      <c r="A30" s="177" t="s">
        <v>532</v>
      </c>
      <c r="B30" s="178">
        <v>1</v>
      </c>
      <c r="D30" s="454" t="s">
        <v>336</v>
      </c>
      <c r="E30" s="455"/>
      <c r="F30" s="456"/>
      <c r="G30" s="457">
        <f>L87</f>
        <v>47383860.040831923</v>
      </c>
      <c r="H30" s="458"/>
    </row>
    <row r="31" spans="1:33" x14ac:dyDescent="0.2">
      <c r="A31" s="177" t="s">
        <v>334</v>
      </c>
      <c r="B31" s="178">
        <v>1</v>
      </c>
      <c r="D31" s="459"/>
      <c r="E31" s="460"/>
      <c r="F31" s="461"/>
      <c r="G31" s="459"/>
      <c r="H31" s="461"/>
    </row>
    <row r="32" spans="1:33" x14ac:dyDescent="0.2">
      <c r="A32" s="177" t="s">
        <v>312</v>
      </c>
      <c r="B32" s="178"/>
    </row>
    <row r="33" spans="1:33" x14ac:dyDescent="0.2">
      <c r="A33" s="177" t="s">
        <v>333</v>
      </c>
      <c r="B33" s="178"/>
    </row>
    <row r="34" spans="1:33" x14ac:dyDescent="0.2">
      <c r="A34" s="177" t="s">
        <v>332</v>
      </c>
      <c r="B34" s="178"/>
    </row>
    <row r="35" spans="1:33" x14ac:dyDescent="0.2">
      <c r="A35" s="181"/>
      <c r="B35" s="178"/>
    </row>
    <row r="36" spans="1:33" ht="16.5" thickBot="1" x14ac:dyDescent="0.25">
      <c r="A36" s="179" t="s">
        <v>304</v>
      </c>
      <c r="B36" s="182">
        <v>0.2</v>
      </c>
    </row>
    <row r="37" spans="1:33" x14ac:dyDescent="0.2">
      <c r="A37" s="175" t="s">
        <v>533</v>
      </c>
      <c r="B37" s="176">
        <v>0</v>
      </c>
    </row>
    <row r="38" spans="1:33" x14ac:dyDescent="0.2">
      <c r="A38" s="177" t="s">
        <v>331</v>
      </c>
      <c r="B38" s="178"/>
    </row>
    <row r="39" spans="1:33" ht="16.5" thickBot="1" x14ac:dyDescent="0.25">
      <c r="A39" s="183" t="s">
        <v>330</v>
      </c>
      <c r="B39" s="184"/>
    </row>
    <row r="40" spans="1:33" x14ac:dyDescent="0.2">
      <c r="A40" s="185" t="s">
        <v>534</v>
      </c>
      <c r="B40" s="186">
        <v>1</v>
      </c>
    </row>
    <row r="41" spans="1:33" x14ac:dyDescent="0.2">
      <c r="A41" s="187" t="s">
        <v>329</v>
      </c>
      <c r="B41" s="188"/>
    </row>
    <row r="42" spans="1:33" x14ac:dyDescent="0.2">
      <c r="A42" s="187" t="s">
        <v>328</v>
      </c>
      <c r="B42" s="189"/>
    </row>
    <row r="43" spans="1:33" x14ac:dyDescent="0.2">
      <c r="A43" s="187" t="s">
        <v>327</v>
      </c>
      <c r="B43" s="189">
        <v>0</v>
      </c>
    </row>
    <row r="44" spans="1:33" x14ac:dyDescent="0.2">
      <c r="A44" s="187" t="s">
        <v>326</v>
      </c>
      <c r="B44" s="189">
        <v>0.13</v>
      </c>
    </row>
    <row r="45" spans="1:33" x14ac:dyDescent="0.2">
      <c r="A45" s="187" t="s">
        <v>325</v>
      </c>
      <c r="B45" s="189">
        <f>1-B43</f>
        <v>1</v>
      </c>
    </row>
    <row r="46" spans="1:33" ht="16.5" thickBot="1" x14ac:dyDescent="0.25">
      <c r="A46" s="190" t="s">
        <v>324</v>
      </c>
      <c r="B46" s="191">
        <f>B45*B44+B43*B42*(1-B36)</f>
        <v>0.13</v>
      </c>
      <c r="C46" s="192"/>
    </row>
    <row r="47" spans="1:33" s="195" customFormat="1" x14ac:dyDescent="0.2">
      <c r="A47" s="193" t="s">
        <v>323</v>
      </c>
      <c r="B47" s="194">
        <f>B58</f>
        <v>1</v>
      </c>
      <c r="C47" s="194">
        <f t="shared" ref="C47:AG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row>
    <row r="48" spans="1:33" s="195" customFormat="1" x14ac:dyDescent="0.2">
      <c r="A48" s="196" t="s">
        <v>322</v>
      </c>
      <c r="B48" s="239">
        <f>B127</f>
        <v>0</v>
      </c>
      <c r="C48" s="239">
        <f t="shared" ref="C48:AG48" si="1">C127</f>
        <v>5.0999999999999997E-2</v>
      </c>
      <c r="D48" s="239">
        <f t="shared" si="1"/>
        <v>4.8000000000000001E-2</v>
      </c>
      <c r="E48" s="239">
        <f t="shared" si="1"/>
        <v>4.7E-2</v>
      </c>
      <c r="F48" s="239">
        <f t="shared" si="1"/>
        <v>4.7E-2</v>
      </c>
      <c r="G48" s="239">
        <f t="shared" si="1"/>
        <v>4.7E-2</v>
      </c>
      <c r="H48" s="239">
        <f t="shared" si="1"/>
        <v>4.7E-2</v>
      </c>
      <c r="I48" s="239">
        <f t="shared" si="1"/>
        <v>4.7E-2</v>
      </c>
      <c r="J48" s="239">
        <f t="shared" si="1"/>
        <v>4.7E-2</v>
      </c>
      <c r="K48" s="239">
        <f t="shared" si="1"/>
        <v>4.7E-2</v>
      </c>
      <c r="L48" s="239">
        <f t="shared" si="1"/>
        <v>4.7E-2</v>
      </c>
      <c r="M48" s="239">
        <f t="shared" si="1"/>
        <v>4.7E-2</v>
      </c>
      <c r="N48" s="239">
        <f t="shared" si="1"/>
        <v>4.7E-2</v>
      </c>
      <c r="O48" s="239">
        <f t="shared" si="1"/>
        <v>4.7E-2</v>
      </c>
      <c r="P48" s="239">
        <f t="shared" si="1"/>
        <v>4.7E-2</v>
      </c>
      <c r="Q48" s="239">
        <f t="shared" si="1"/>
        <v>4.7E-2</v>
      </c>
      <c r="R48" s="239">
        <f t="shared" si="1"/>
        <v>4.7E-2</v>
      </c>
      <c r="S48" s="239">
        <f t="shared" si="1"/>
        <v>4.7E-2</v>
      </c>
      <c r="T48" s="239">
        <f t="shared" si="1"/>
        <v>4.7E-2</v>
      </c>
      <c r="U48" s="239">
        <f t="shared" si="1"/>
        <v>4.7E-2</v>
      </c>
      <c r="V48" s="239">
        <f t="shared" si="1"/>
        <v>4.7E-2</v>
      </c>
      <c r="W48" s="239">
        <f t="shared" si="1"/>
        <v>4.7E-2</v>
      </c>
      <c r="X48" s="239">
        <f t="shared" si="1"/>
        <v>4.7E-2</v>
      </c>
      <c r="Y48" s="239">
        <f t="shared" si="1"/>
        <v>4.7E-2</v>
      </c>
      <c r="Z48" s="239">
        <f t="shared" si="1"/>
        <v>4.7E-2</v>
      </c>
      <c r="AA48" s="239">
        <f t="shared" si="1"/>
        <v>4.7E-2</v>
      </c>
      <c r="AB48" s="239">
        <f t="shared" si="1"/>
        <v>4.7E-2</v>
      </c>
      <c r="AC48" s="239">
        <f t="shared" si="1"/>
        <v>4.7E-2</v>
      </c>
      <c r="AD48" s="239">
        <f t="shared" si="1"/>
        <v>4.7E-2</v>
      </c>
      <c r="AE48" s="239">
        <f t="shared" si="1"/>
        <v>4.7E-2</v>
      </c>
      <c r="AF48" s="239">
        <f t="shared" si="1"/>
        <v>4.7E-2</v>
      </c>
      <c r="AG48" s="239">
        <f t="shared" si="1"/>
        <v>4.7E-2</v>
      </c>
    </row>
    <row r="49" spans="1:33" s="195" customFormat="1" x14ac:dyDescent="0.2">
      <c r="A49" s="196" t="s">
        <v>321</v>
      </c>
      <c r="B49" s="239">
        <f>B128</f>
        <v>0</v>
      </c>
      <c r="C49" s="239">
        <f t="shared" ref="C49:AG49" si="2">C128</f>
        <v>5.0999999999999934E-2</v>
      </c>
      <c r="D49" s="239">
        <f t="shared" si="2"/>
        <v>0.10144799999999998</v>
      </c>
      <c r="E49" s="239">
        <f t="shared" si="2"/>
        <v>0.15321605599999999</v>
      </c>
      <c r="F49" s="239">
        <f t="shared" si="2"/>
        <v>0.2074172106319998</v>
      </c>
      <c r="G49" s="239">
        <f t="shared" si="2"/>
        <v>0.26416581953170382</v>
      </c>
      <c r="H49" s="239">
        <f t="shared" si="2"/>
        <v>0.32358161304969379</v>
      </c>
      <c r="I49" s="239">
        <f t="shared" si="2"/>
        <v>0.38578994886302942</v>
      </c>
      <c r="J49" s="239">
        <f t="shared" si="2"/>
        <v>0.45092207645959181</v>
      </c>
      <c r="K49" s="239">
        <f t="shared" si="2"/>
        <v>0.51911541405319261</v>
      </c>
      <c r="L49" s="239">
        <f t="shared" si="2"/>
        <v>0.59051383851369255</v>
      </c>
      <c r="M49" s="239">
        <f t="shared" si="2"/>
        <v>0.66526798892383598</v>
      </c>
      <c r="N49" s="239">
        <f t="shared" si="2"/>
        <v>0.74353558440325607</v>
      </c>
      <c r="O49" s="239">
        <f t="shared" si="2"/>
        <v>0.82548175687020908</v>
      </c>
      <c r="P49" s="239">
        <f t="shared" si="2"/>
        <v>0.91127939944310876</v>
      </c>
      <c r="Q49" s="239">
        <f t="shared" si="2"/>
        <v>1.0011095312169349</v>
      </c>
      <c r="R49" s="239">
        <f t="shared" si="2"/>
        <v>1.0951616791841308</v>
      </c>
      <c r="S49" s="239">
        <f t="shared" si="2"/>
        <v>1.1936342781057849</v>
      </c>
      <c r="T49" s="239">
        <f t="shared" si="2"/>
        <v>1.2967350891767566</v>
      </c>
      <c r="U49" s="239">
        <f t="shared" si="2"/>
        <v>1.4046816383680638</v>
      </c>
      <c r="V49" s="239">
        <f t="shared" si="2"/>
        <v>1.5177016753713626</v>
      </c>
      <c r="W49" s="239">
        <f t="shared" si="2"/>
        <v>1.6360336541138163</v>
      </c>
      <c r="X49" s="239">
        <f t="shared" si="2"/>
        <v>1.7599272358571656</v>
      </c>
      <c r="Y49" s="239">
        <f t="shared" si="2"/>
        <v>1.8896438159424522</v>
      </c>
      <c r="Z49" s="239">
        <f t="shared" si="2"/>
        <v>2.0254570752917473</v>
      </c>
      <c r="AA49" s="239">
        <f t="shared" si="2"/>
        <v>2.1676535578304592</v>
      </c>
      <c r="AB49" s="239">
        <f t="shared" si="2"/>
        <v>2.3165332750484904</v>
      </c>
      <c r="AC49" s="239">
        <f t="shared" si="2"/>
        <v>2.4724103389757692</v>
      </c>
      <c r="AD49" s="239">
        <f t="shared" si="2"/>
        <v>2.6356136249076303</v>
      </c>
      <c r="AE49" s="239">
        <f t="shared" si="2"/>
        <v>2.8064874652782885</v>
      </c>
      <c r="AF49" s="239">
        <f t="shared" si="2"/>
        <v>2.9853923761463679</v>
      </c>
      <c r="AG49" s="239">
        <f t="shared" si="2"/>
        <v>3.1727058178252472</v>
      </c>
    </row>
    <row r="50" spans="1:33" s="195" customFormat="1" ht="16.5" thickBot="1" x14ac:dyDescent="0.25">
      <c r="A50" s="197" t="s">
        <v>535</v>
      </c>
      <c r="B50" s="198">
        <v>43202.52</v>
      </c>
      <c r="C50" s="198"/>
      <c r="D50" s="198">
        <f t="shared" ref="D50:AG50" si="3">D101*(1+D49)</f>
        <v>4347073.3234521542</v>
      </c>
      <c r="E50" s="198">
        <f t="shared" si="3"/>
        <v>9102771.5393088106</v>
      </c>
      <c r="F50" s="198">
        <f t="shared" si="3"/>
        <v>14440305.760085337</v>
      </c>
      <c r="G50" s="198">
        <f t="shared" si="3"/>
        <v>15119000.130809348</v>
      </c>
      <c r="H50" s="198">
        <f t="shared" si="3"/>
        <v>15829593.136957387</v>
      </c>
      <c r="I50" s="198">
        <f t="shared" si="3"/>
        <v>16573584.014394384</v>
      </c>
      <c r="J50" s="198">
        <f t="shared" si="3"/>
        <v>17352542.463070922</v>
      </c>
      <c r="K50" s="198">
        <f t="shared" si="3"/>
        <v>18168111.958835255</v>
      </c>
      <c r="L50" s="198">
        <f t="shared" si="3"/>
        <v>19022013.22090051</v>
      </c>
      <c r="M50" s="198">
        <f t="shared" si="3"/>
        <v>19916047.842282832</v>
      </c>
      <c r="N50" s="198">
        <f t="shared" si="3"/>
        <v>20852102.090870123</v>
      </c>
      <c r="O50" s="198">
        <f t="shared" si="3"/>
        <v>21832150.889141019</v>
      </c>
      <c r="P50" s="198">
        <f t="shared" si="3"/>
        <v>22858261.980930645</v>
      </c>
      <c r="Q50" s="198">
        <f t="shared" si="3"/>
        <v>23932600.294034384</v>
      </c>
      <c r="R50" s="198">
        <f t="shared" si="3"/>
        <v>25057432.507854</v>
      </c>
      <c r="S50" s="198">
        <f t="shared" si="3"/>
        <v>26235131.835723139</v>
      </c>
      <c r="T50" s="198">
        <f t="shared" si="3"/>
        <v>27468183.032002121</v>
      </c>
      <c r="U50" s="198">
        <f t="shared" si="3"/>
        <v>28759187.634506218</v>
      </c>
      <c r="V50" s="198">
        <f t="shared" si="3"/>
        <v>30110869.45332801</v>
      </c>
      <c r="W50" s="198">
        <f t="shared" si="3"/>
        <v>31526080.317634419</v>
      </c>
      <c r="X50" s="198">
        <f t="shared" si="3"/>
        <v>33007806.092563238</v>
      </c>
      <c r="Y50" s="198">
        <f t="shared" si="3"/>
        <v>34559172.97891371</v>
      </c>
      <c r="Z50" s="198">
        <f t="shared" si="3"/>
        <v>36183454.108922653</v>
      </c>
      <c r="AA50" s="198">
        <f t="shared" si="3"/>
        <v>37884076.452042013</v>
      </c>
      <c r="AB50" s="198">
        <f t="shared" si="3"/>
        <v>39664628.045287982</v>
      </c>
      <c r="AC50" s="198">
        <f t="shared" si="3"/>
        <v>41528865.563416511</v>
      </c>
      <c r="AD50" s="198">
        <f t="shared" si="3"/>
        <v>43480722.24489709</v>
      </c>
      <c r="AE50" s="198">
        <f t="shared" si="3"/>
        <v>45524316.190407246</v>
      </c>
      <c r="AF50" s="198">
        <f t="shared" si="3"/>
        <v>47663959.051356383</v>
      </c>
      <c r="AG50" s="198">
        <f t="shared" si="3"/>
        <v>49904165.126770139</v>
      </c>
    </row>
    <row r="51" spans="1:33" ht="16.5" thickBot="1" x14ac:dyDescent="0.25"/>
    <row r="52" spans="1:33" x14ac:dyDescent="0.2">
      <c r="A52" s="199" t="s">
        <v>320</v>
      </c>
      <c r="B52" s="200">
        <f>B58</f>
        <v>1</v>
      </c>
      <c r="C52" s="200">
        <f t="shared" ref="C52:AG52" si="4">C58</f>
        <v>2</v>
      </c>
      <c r="D52" s="200">
        <f t="shared" si="4"/>
        <v>3</v>
      </c>
      <c r="E52" s="200">
        <f t="shared" si="4"/>
        <v>4</v>
      </c>
      <c r="F52" s="200">
        <f t="shared" si="4"/>
        <v>5</v>
      </c>
      <c r="G52" s="200">
        <f t="shared" si="4"/>
        <v>6</v>
      </c>
      <c r="H52" s="200">
        <f t="shared" si="4"/>
        <v>7</v>
      </c>
      <c r="I52" s="200">
        <f t="shared" si="4"/>
        <v>8</v>
      </c>
      <c r="J52" s="200">
        <f t="shared" si="4"/>
        <v>9</v>
      </c>
      <c r="K52" s="200">
        <f t="shared" si="4"/>
        <v>10</v>
      </c>
      <c r="L52" s="200">
        <f t="shared" si="4"/>
        <v>11</v>
      </c>
      <c r="M52" s="200">
        <f t="shared" si="4"/>
        <v>12</v>
      </c>
      <c r="N52" s="200">
        <f t="shared" si="4"/>
        <v>13</v>
      </c>
      <c r="O52" s="200">
        <f t="shared" si="4"/>
        <v>14</v>
      </c>
      <c r="P52" s="200">
        <f t="shared" si="4"/>
        <v>15</v>
      </c>
      <c r="Q52" s="200">
        <f t="shared" si="4"/>
        <v>16</v>
      </c>
      <c r="R52" s="200">
        <f t="shared" si="4"/>
        <v>17</v>
      </c>
      <c r="S52" s="200">
        <f t="shared" si="4"/>
        <v>18</v>
      </c>
      <c r="T52" s="200">
        <f t="shared" si="4"/>
        <v>19</v>
      </c>
      <c r="U52" s="200">
        <f t="shared" si="4"/>
        <v>20</v>
      </c>
      <c r="V52" s="200">
        <f t="shared" si="4"/>
        <v>21</v>
      </c>
      <c r="W52" s="200">
        <f t="shared" si="4"/>
        <v>22</v>
      </c>
      <c r="X52" s="200">
        <f t="shared" si="4"/>
        <v>23</v>
      </c>
      <c r="Y52" s="200">
        <f t="shared" si="4"/>
        <v>24</v>
      </c>
      <c r="Z52" s="200">
        <f t="shared" si="4"/>
        <v>25</v>
      </c>
      <c r="AA52" s="200">
        <f t="shared" si="4"/>
        <v>26</v>
      </c>
      <c r="AB52" s="200">
        <f t="shared" si="4"/>
        <v>27</v>
      </c>
      <c r="AC52" s="200">
        <f t="shared" si="4"/>
        <v>28</v>
      </c>
      <c r="AD52" s="200">
        <f t="shared" si="4"/>
        <v>29</v>
      </c>
      <c r="AE52" s="200">
        <f t="shared" si="4"/>
        <v>30</v>
      </c>
      <c r="AF52" s="200">
        <f t="shared" si="4"/>
        <v>31</v>
      </c>
      <c r="AG52" s="200">
        <f t="shared" si="4"/>
        <v>32</v>
      </c>
    </row>
    <row r="53" spans="1:33" x14ac:dyDescent="0.2">
      <c r="A53" s="201" t="s">
        <v>319</v>
      </c>
      <c r="B53" s="240">
        <v>0</v>
      </c>
      <c r="C53" s="240">
        <f t="shared" ref="C53:AG53" si="5">B53+B54-B55</f>
        <v>0</v>
      </c>
      <c r="D53" s="240">
        <f t="shared" si="5"/>
        <v>0</v>
      </c>
      <c r="E53" s="240">
        <f t="shared" si="5"/>
        <v>0</v>
      </c>
      <c r="F53" s="240">
        <f t="shared" si="5"/>
        <v>0</v>
      </c>
      <c r="G53" s="240">
        <f t="shared" si="5"/>
        <v>0</v>
      </c>
      <c r="H53" s="240">
        <f t="shared" si="5"/>
        <v>0</v>
      </c>
      <c r="I53" s="240">
        <f t="shared" si="5"/>
        <v>0</v>
      </c>
      <c r="J53" s="240">
        <f t="shared" si="5"/>
        <v>0</v>
      </c>
      <c r="K53" s="240">
        <f t="shared" si="5"/>
        <v>0</v>
      </c>
      <c r="L53" s="240">
        <f t="shared" si="5"/>
        <v>0</v>
      </c>
      <c r="M53" s="240">
        <f t="shared" si="5"/>
        <v>0</v>
      </c>
      <c r="N53" s="240">
        <f t="shared" si="5"/>
        <v>0</v>
      </c>
      <c r="O53" s="240">
        <f t="shared" si="5"/>
        <v>0</v>
      </c>
      <c r="P53" s="240">
        <f t="shared" si="5"/>
        <v>0</v>
      </c>
      <c r="Q53" s="240">
        <f t="shared" si="5"/>
        <v>0</v>
      </c>
      <c r="R53" s="240">
        <f t="shared" si="5"/>
        <v>0</v>
      </c>
      <c r="S53" s="240">
        <f t="shared" si="5"/>
        <v>0</v>
      </c>
      <c r="T53" s="240">
        <f t="shared" si="5"/>
        <v>0</v>
      </c>
      <c r="U53" s="240">
        <f t="shared" si="5"/>
        <v>0</v>
      </c>
      <c r="V53" s="240">
        <f t="shared" si="5"/>
        <v>0</v>
      </c>
      <c r="W53" s="240">
        <f t="shared" si="5"/>
        <v>0</v>
      </c>
      <c r="X53" s="240">
        <f t="shared" si="5"/>
        <v>0</v>
      </c>
      <c r="Y53" s="240">
        <f t="shared" si="5"/>
        <v>0</v>
      </c>
      <c r="Z53" s="240">
        <f t="shared" si="5"/>
        <v>0</v>
      </c>
      <c r="AA53" s="240">
        <f t="shared" si="5"/>
        <v>0</v>
      </c>
      <c r="AB53" s="240">
        <f t="shared" si="5"/>
        <v>0</v>
      </c>
      <c r="AC53" s="240">
        <f t="shared" si="5"/>
        <v>0</v>
      </c>
      <c r="AD53" s="240">
        <f t="shared" si="5"/>
        <v>0</v>
      </c>
      <c r="AE53" s="240">
        <f t="shared" si="5"/>
        <v>0</v>
      </c>
      <c r="AF53" s="240">
        <f t="shared" si="5"/>
        <v>0</v>
      </c>
      <c r="AG53" s="240">
        <f t="shared" si="5"/>
        <v>0</v>
      </c>
    </row>
    <row r="54" spans="1:33" x14ac:dyDescent="0.2">
      <c r="A54" s="201" t="s">
        <v>318</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row>
    <row r="55" spans="1:33" x14ac:dyDescent="0.2">
      <c r="A55" s="201" t="s">
        <v>317</v>
      </c>
      <c r="B55" s="240">
        <f>$B$54/$B$40</f>
        <v>0</v>
      </c>
      <c r="C55" s="240">
        <f t="shared" ref="C55:AG55" si="6">IF(ROUND(C53,1)=0,0,B55+C54/$B$40)</f>
        <v>0</v>
      </c>
      <c r="D55" s="240">
        <f t="shared" si="6"/>
        <v>0</v>
      </c>
      <c r="E55" s="240">
        <f t="shared" si="6"/>
        <v>0</v>
      </c>
      <c r="F55" s="240">
        <f t="shared" si="6"/>
        <v>0</v>
      </c>
      <c r="G55" s="240">
        <f t="shared" si="6"/>
        <v>0</v>
      </c>
      <c r="H55" s="240">
        <f t="shared" si="6"/>
        <v>0</v>
      </c>
      <c r="I55" s="240">
        <f t="shared" si="6"/>
        <v>0</v>
      </c>
      <c r="J55" s="240">
        <f t="shared" si="6"/>
        <v>0</v>
      </c>
      <c r="K55" s="240">
        <f t="shared" si="6"/>
        <v>0</v>
      </c>
      <c r="L55" s="240">
        <f t="shared" si="6"/>
        <v>0</v>
      </c>
      <c r="M55" s="240">
        <f t="shared" si="6"/>
        <v>0</v>
      </c>
      <c r="N55" s="240">
        <f t="shared" si="6"/>
        <v>0</v>
      </c>
      <c r="O55" s="240">
        <f t="shared" si="6"/>
        <v>0</v>
      </c>
      <c r="P55" s="240">
        <f t="shared" si="6"/>
        <v>0</v>
      </c>
      <c r="Q55" s="240">
        <f t="shared" si="6"/>
        <v>0</v>
      </c>
      <c r="R55" s="240">
        <f t="shared" si="6"/>
        <v>0</v>
      </c>
      <c r="S55" s="240">
        <f t="shared" si="6"/>
        <v>0</v>
      </c>
      <c r="T55" s="240">
        <f t="shared" si="6"/>
        <v>0</v>
      </c>
      <c r="U55" s="240">
        <f t="shared" si="6"/>
        <v>0</v>
      </c>
      <c r="V55" s="240">
        <f t="shared" si="6"/>
        <v>0</v>
      </c>
      <c r="W55" s="240">
        <f t="shared" si="6"/>
        <v>0</v>
      </c>
      <c r="X55" s="240">
        <f t="shared" si="6"/>
        <v>0</v>
      </c>
      <c r="Y55" s="240">
        <f t="shared" si="6"/>
        <v>0</v>
      </c>
      <c r="Z55" s="240">
        <f t="shared" si="6"/>
        <v>0</v>
      </c>
      <c r="AA55" s="240">
        <f t="shared" si="6"/>
        <v>0</v>
      </c>
      <c r="AB55" s="240">
        <f t="shared" si="6"/>
        <v>0</v>
      </c>
      <c r="AC55" s="240">
        <f t="shared" si="6"/>
        <v>0</v>
      </c>
      <c r="AD55" s="240">
        <f t="shared" si="6"/>
        <v>0</v>
      </c>
      <c r="AE55" s="240">
        <f t="shared" si="6"/>
        <v>0</v>
      </c>
      <c r="AF55" s="240">
        <f t="shared" si="6"/>
        <v>0</v>
      </c>
      <c r="AG55" s="240">
        <f t="shared" si="6"/>
        <v>0</v>
      </c>
    </row>
    <row r="56" spans="1:33" ht="16.5" thickBot="1" x14ac:dyDescent="0.25">
      <c r="A56" s="202" t="s">
        <v>316</v>
      </c>
      <c r="B56" s="203">
        <f t="shared" ref="B56:AG56" si="7">AVERAGE(SUM(B53:B54),(SUM(B53:B54)-B55))*$B$42</f>
        <v>0</v>
      </c>
      <c r="C56" s="203">
        <f t="shared" si="7"/>
        <v>0</v>
      </c>
      <c r="D56" s="203">
        <f t="shared" si="7"/>
        <v>0</v>
      </c>
      <c r="E56" s="203">
        <f t="shared" si="7"/>
        <v>0</v>
      </c>
      <c r="F56" s="203">
        <f t="shared" si="7"/>
        <v>0</v>
      </c>
      <c r="G56" s="203">
        <f t="shared" si="7"/>
        <v>0</v>
      </c>
      <c r="H56" s="203">
        <f t="shared" si="7"/>
        <v>0</v>
      </c>
      <c r="I56" s="203">
        <f t="shared" si="7"/>
        <v>0</v>
      </c>
      <c r="J56" s="203">
        <f t="shared" si="7"/>
        <v>0</v>
      </c>
      <c r="K56" s="203">
        <f t="shared" si="7"/>
        <v>0</v>
      </c>
      <c r="L56" s="203">
        <f t="shared" si="7"/>
        <v>0</v>
      </c>
      <c r="M56" s="203">
        <f t="shared" si="7"/>
        <v>0</v>
      </c>
      <c r="N56" s="203">
        <f t="shared" si="7"/>
        <v>0</v>
      </c>
      <c r="O56" s="203">
        <f t="shared" si="7"/>
        <v>0</v>
      </c>
      <c r="P56" s="203">
        <f t="shared" si="7"/>
        <v>0</v>
      </c>
      <c r="Q56" s="203">
        <f t="shared" si="7"/>
        <v>0</v>
      </c>
      <c r="R56" s="203">
        <f t="shared" si="7"/>
        <v>0</v>
      </c>
      <c r="S56" s="203">
        <f t="shared" si="7"/>
        <v>0</v>
      </c>
      <c r="T56" s="203">
        <f t="shared" si="7"/>
        <v>0</v>
      </c>
      <c r="U56" s="203">
        <f t="shared" si="7"/>
        <v>0</v>
      </c>
      <c r="V56" s="203">
        <f t="shared" si="7"/>
        <v>0</v>
      </c>
      <c r="W56" s="203">
        <f t="shared" si="7"/>
        <v>0</v>
      </c>
      <c r="X56" s="203">
        <f t="shared" si="7"/>
        <v>0</v>
      </c>
      <c r="Y56" s="203">
        <f t="shared" si="7"/>
        <v>0</v>
      </c>
      <c r="Z56" s="203">
        <f t="shared" si="7"/>
        <v>0</v>
      </c>
      <c r="AA56" s="203">
        <f t="shared" si="7"/>
        <v>0</v>
      </c>
      <c r="AB56" s="203">
        <f t="shared" si="7"/>
        <v>0</v>
      </c>
      <c r="AC56" s="203">
        <f t="shared" si="7"/>
        <v>0</v>
      </c>
      <c r="AD56" s="203">
        <f t="shared" si="7"/>
        <v>0</v>
      </c>
      <c r="AE56" s="203">
        <f t="shared" si="7"/>
        <v>0</v>
      </c>
      <c r="AF56" s="203">
        <f t="shared" si="7"/>
        <v>0</v>
      </c>
      <c r="AG56" s="203">
        <f t="shared" si="7"/>
        <v>0</v>
      </c>
    </row>
    <row r="57" spans="1:33" s="206" customFormat="1" ht="16.5" thickBot="1" x14ac:dyDescent="0.25">
      <c r="A57" s="204"/>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row>
    <row r="58" spans="1:33" x14ac:dyDescent="0.2">
      <c r="A58" s="199" t="s">
        <v>536</v>
      </c>
      <c r="B58" s="200">
        <v>1</v>
      </c>
      <c r="C58" s="200">
        <f>B58+1</f>
        <v>2</v>
      </c>
      <c r="D58" s="200">
        <f t="shared" ref="D58:AG58" si="8">C58+1</f>
        <v>3</v>
      </c>
      <c r="E58" s="200">
        <f t="shared" si="8"/>
        <v>4</v>
      </c>
      <c r="F58" s="200">
        <f t="shared" si="8"/>
        <v>5</v>
      </c>
      <c r="G58" s="200">
        <f t="shared" si="8"/>
        <v>6</v>
      </c>
      <c r="H58" s="200">
        <f t="shared" si="8"/>
        <v>7</v>
      </c>
      <c r="I58" s="200">
        <f t="shared" si="8"/>
        <v>8</v>
      </c>
      <c r="J58" s="200">
        <f t="shared" si="8"/>
        <v>9</v>
      </c>
      <c r="K58" s="200">
        <f t="shared" si="8"/>
        <v>10</v>
      </c>
      <c r="L58" s="200">
        <f t="shared" si="8"/>
        <v>11</v>
      </c>
      <c r="M58" s="200">
        <f t="shared" si="8"/>
        <v>12</v>
      </c>
      <c r="N58" s="200">
        <f t="shared" si="8"/>
        <v>13</v>
      </c>
      <c r="O58" s="200">
        <f t="shared" si="8"/>
        <v>14</v>
      </c>
      <c r="P58" s="200">
        <f t="shared" si="8"/>
        <v>15</v>
      </c>
      <c r="Q58" s="200">
        <f t="shared" si="8"/>
        <v>16</v>
      </c>
      <c r="R58" s="200">
        <f t="shared" si="8"/>
        <v>17</v>
      </c>
      <c r="S58" s="200">
        <f t="shared" si="8"/>
        <v>18</v>
      </c>
      <c r="T58" s="200">
        <f t="shared" si="8"/>
        <v>19</v>
      </c>
      <c r="U58" s="200">
        <f t="shared" si="8"/>
        <v>20</v>
      </c>
      <c r="V58" s="200">
        <f t="shared" si="8"/>
        <v>21</v>
      </c>
      <c r="W58" s="200">
        <f t="shared" si="8"/>
        <v>22</v>
      </c>
      <c r="X58" s="200">
        <f t="shared" si="8"/>
        <v>23</v>
      </c>
      <c r="Y58" s="200">
        <f t="shared" si="8"/>
        <v>24</v>
      </c>
      <c r="Z58" s="200">
        <f t="shared" si="8"/>
        <v>25</v>
      </c>
      <c r="AA58" s="200">
        <f t="shared" si="8"/>
        <v>26</v>
      </c>
      <c r="AB58" s="200">
        <f t="shared" si="8"/>
        <v>27</v>
      </c>
      <c r="AC58" s="200">
        <f t="shared" si="8"/>
        <v>28</v>
      </c>
      <c r="AD58" s="200">
        <f t="shared" si="8"/>
        <v>29</v>
      </c>
      <c r="AE58" s="200">
        <f t="shared" si="8"/>
        <v>30</v>
      </c>
      <c r="AF58" s="200">
        <f t="shared" si="8"/>
        <v>31</v>
      </c>
      <c r="AG58" s="200">
        <f t="shared" si="8"/>
        <v>32</v>
      </c>
    </row>
    <row r="59" spans="1:33" ht="14.25" x14ac:dyDescent="0.2">
      <c r="A59" s="207" t="s">
        <v>315</v>
      </c>
      <c r="B59" s="241">
        <f t="shared" ref="B59:AG59" si="9">B50*$B$28</f>
        <v>43202.52</v>
      </c>
      <c r="C59" s="241">
        <f t="shared" si="9"/>
        <v>0</v>
      </c>
      <c r="D59" s="241">
        <f t="shared" si="9"/>
        <v>4347073.3234521542</v>
      </c>
      <c r="E59" s="241">
        <f t="shared" si="9"/>
        <v>9102771.5393088106</v>
      </c>
      <c r="F59" s="241">
        <f t="shared" si="9"/>
        <v>14440305.760085337</v>
      </c>
      <c r="G59" s="241">
        <f t="shared" si="9"/>
        <v>15119000.130809348</v>
      </c>
      <c r="H59" s="241">
        <f t="shared" si="9"/>
        <v>15829593.136957387</v>
      </c>
      <c r="I59" s="241">
        <f t="shared" si="9"/>
        <v>16573584.014394384</v>
      </c>
      <c r="J59" s="241">
        <f t="shared" si="9"/>
        <v>17352542.463070922</v>
      </c>
      <c r="K59" s="241">
        <f t="shared" si="9"/>
        <v>18168111.958835255</v>
      </c>
      <c r="L59" s="241">
        <f t="shared" si="9"/>
        <v>19022013.22090051</v>
      </c>
      <c r="M59" s="241">
        <f t="shared" si="9"/>
        <v>19916047.842282832</v>
      </c>
      <c r="N59" s="241">
        <f t="shared" si="9"/>
        <v>20852102.090870123</v>
      </c>
      <c r="O59" s="241">
        <f t="shared" si="9"/>
        <v>21832150.889141019</v>
      </c>
      <c r="P59" s="241">
        <f t="shared" si="9"/>
        <v>22858261.980930645</v>
      </c>
      <c r="Q59" s="241">
        <f t="shared" si="9"/>
        <v>23932600.294034384</v>
      </c>
      <c r="R59" s="241">
        <f t="shared" si="9"/>
        <v>25057432.507854</v>
      </c>
      <c r="S59" s="241">
        <f t="shared" si="9"/>
        <v>26235131.835723139</v>
      </c>
      <c r="T59" s="241">
        <f t="shared" si="9"/>
        <v>27468183.032002121</v>
      </c>
      <c r="U59" s="241">
        <f t="shared" si="9"/>
        <v>28759187.634506218</v>
      </c>
      <c r="V59" s="241">
        <f t="shared" si="9"/>
        <v>30110869.45332801</v>
      </c>
      <c r="W59" s="241">
        <f t="shared" si="9"/>
        <v>31526080.317634419</v>
      </c>
      <c r="X59" s="241">
        <f t="shared" si="9"/>
        <v>33007806.092563238</v>
      </c>
      <c r="Y59" s="241">
        <f t="shared" si="9"/>
        <v>34559172.97891371</v>
      </c>
      <c r="Z59" s="241">
        <f t="shared" si="9"/>
        <v>36183454.108922653</v>
      </c>
      <c r="AA59" s="241">
        <f t="shared" si="9"/>
        <v>37884076.452042013</v>
      </c>
      <c r="AB59" s="241">
        <f t="shared" si="9"/>
        <v>39664628.045287982</v>
      </c>
      <c r="AC59" s="241">
        <f t="shared" si="9"/>
        <v>41528865.563416511</v>
      </c>
      <c r="AD59" s="241">
        <f t="shared" si="9"/>
        <v>43480722.24489709</v>
      </c>
      <c r="AE59" s="241">
        <f t="shared" si="9"/>
        <v>45524316.190407246</v>
      </c>
      <c r="AF59" s="241">
        <f t="shared" si="9"/>
        <v>47663959.051356383</v>
      </c>
      <c r="AG59" s="241">
        <f t="shared" si="9"/>
        <v>49904165.126770139</v>
      </c>
    </row>
    <row r="60" spans="1:33" x14ac:dyDescent="0.2">
      <c r="A60" s="201" t="s">
        <v>314</v>
      </c>
      <c r="B60" s="240">
        <f t="shared" ref="B60:Z60" si="10">SUM(B61:B65)</f>
        <v>0</v>
      </c>
      <c r="C60" s="240">
        <f t="shared" si="10"/>
        <v>0</v>
      </c>
      <c r="D60" s="240">
        <f>SUM(D61:D65)</f>
        <v>-34000.528039617602</v>
      </c>
      <c r="E60" s="240">
        <f t="shared" si="10"/>
        <v>-35598.552857479626</v>
      </c>
      <c r="F60" s="240">
        <f t="shared" si="10"/>
        <v>-37271.684841781163</v>
      </c>
      <c r="G60" s="240">
        <f t="shared" si="10"/>
        <v>-39023.454029344881</v>
      </c>
      <c r="H60" s="240">
        <f t="shared" si="10"/>
        <v>-40857.556368724086</v>
      </c>
      <c r="I60" s="240">
        <f t="shared" si="10"/>
        <v>-42777.861518054116</v>
      </c>
      <c r="J60" s="240">
        <f t="shared" si="10"/>
        <v>-44788.421009402664</v>
      </c>
      <c r="K60" s="240">
        <f t="shared" si="10"/>
        <v>-46893.476796844589</v>
      </c>
      <c r="L60" s="240">
        <f t="shared" si="10"/>
        <v>-49097.470206296275</v>
      </c>
      <c r="M60" s="240">
        <f t="shared" si="10"/>
        <v>-51405.051305992201</v>
      </c>
      <c r="N60" s="240">
        <f t="shared" si="10"/>
        <v>-53821.08871737383</v>
      </c>
      <c r="O60" s="240">
        <f t="shared" si="10"/>
        <v>-56350.679887090395</v>
      </c>
      <c r="P60" s="240">
        <f t="shared" si="10"/>
        <v>-58999.161841783643</v>
      </c>
      <c r="Q60" s="240">
        <f t="shared" si="10"/>
        <v>-61772.122448347473</v>
      </c>
      <c r="R60" s="240">
        <f t="shared" si="10"/>
        <v>-64675.412203419801</v>
      </c>
      <c r="S60" s="240">
        <f t="shared" si="10"/>
        <v>-67715.156576980531</v>
      </c>
      <c r="T60" s="240">
        <f t="shared" si="10"/>
        <v>-70897.768936098611</v>
      </c>
      <c r="U60" s="240">
        <f t="shared" si="10"/>
        <v>-74229.964076095232</v>
      </c>
      <c r="V60" s="240">
        <f t="shared" si="10"/>
        <v>-77718.772387671706</v>
      </c>
      <c r="W60" s="240">
        <f t="shared" si="10"/>
        <v>-81371.554689892262</v>
      </c>
      <c r="X60" s="240">
        <f t="shared" si="10"/>
        <v>-85196.017760317191</v>
      </c>
      <c r="Y60" s="240">
        <f t="shared" si="10"/>
        <v>-89200.230595052097</v>
      </c>
      <c r="Z60" s="240">
        <f t="shared" si="10"/>
        <v>-93392.64143301954</v>
      </c>
      <c r="AA60" s="240">
        <f t="shared" ref="AA60:AG60" si="11">SUM(AA61:AA65)</f>
        <v>-97782.095580371461</v>
      </c>
      <c r="AB60" s="240">
        <f t="shared" si="11"/>
        <v>-102377.8540726489</v>
      </c>
      <c r="AC60" s="240">
        <f t="shared" si="11"/>
        <v>-107189.6132140634</v>
      </c>
      <c r="AD60" s="240">
        <f t="shared" si="11"/>
        <v>-112227.52503512437</v>
      </c>
      <c r="AE60" s="240">
        <f t="shared" si="11"/>
        <v>-117502.2187117752</v>
      </c>
      <c r="AF60" s="240">
        <f t="shared" si="11"/>
        <v>-123024.82299122863</v>
      </c>
      <c r="AG60" s="240">
        <f t="shared" si="11"/>
        <v>-128806.98967181638</v>
      </c>
    </row>
    <row r="61" spans="1:33" x14ac:dyDescent="0.2">
      <c r="A61" s="208" t="s">
        <v>313</v>
      </c>
      <c r="B61" s="240"/>
      <c r="C61" s="240"/>
      <c r="D61" s="240">
        <f>-IF(D$47&lt;=$B$30,0,$B$29*(1+D$49)*$B$28)</f>
        <v>-34000.528039617602</v>
      </c>
      <c r="E61" s="240">
        <f t="shared" ref="E61:AG61" si="12">-IF(E$47&lt;=$B$30,0,$B$29*(1+E$49)*$B$28)</f>
        <v>-35598.552857479626</v>
      </c>
      <c r="F61" s="240">
        <f t="shared" si="12"/>
        <v>-37271.684841781163</v>
      </c>
      <c r="G61" s="240">
        <f t="shared" si="12"/>
        <v>-39023.454029344881</v>
      </c>
      <c r="H61" s="240">
        <f t="shared" si="12"/>
        <v>-40857.556368724086</v>
      </c>
      <c r="I61" s="240">
        <f t="shared" si="12"/>
        <v>-42777.861518054116</v>
      </c>
      <c r="J61" s="240">
        <f t="shared" si="12"/>
        <v>-44788.421009402664</v>
      </c>
      <c r="K61" s="240">
        <f t="shared" si="12"/>
        <v>-46893.476796844589</v>
      </c>
      <c r="L61" s="240">
        <f t="shared" si="12"/>
        <v>-49097.470206296275</v>
      </c>
      <c r="M61" s="240">
        <f t="shared" si="12"/>
        <v>-51405.051305992201</v>
      </c>
      <c r="N61" s="240">
        <f t="shared" si="12"/>
        <v>-53821.08871737383</v>
      </c>
      <c r="O61" s="240">
        <f t="shared" si="12"/>
        <v>-56350.679887090395</v>
      </c>
      <c r="P61" s="240">
        <f t="shared" si="12"/>
        <v>-58999.161841783643</v>
      </c>
      <c r="Q61" s="240">
        <f t="shared" si="12"/>
        <v>-61772.122448347473</v>
      </c>
      <c r="R61" s="240">
        <f t="shared" si="12"/>
        <v>-64675.412203419801</v>
      </c>
      <c r="S61" s="240">
        <f t="shared" si="12"/>
        <v>-67715.156576980531</v>
      </c>
      <c r="T61" s="240">
        <f t="shared" si="12"/>
        <v>-70897.768936098611</v>
      </c>
      <c r="U61" s="240">
        <f t="shared" si="12"/>
        <v>-74229.964076095232</v>
      </c>
      <c r="V61" s="240">
        <f t="shared" si="12"/>
        <v>-77718.772387671706</v>
      </c>
      <c r="W61" s="240">
        <f t="shared" si="12"/>
        <v>-81371.554689892262</v>
      </c>
      <c r="X61" s="240">
        <f t="shared" si="12"/>
        <v>-85196.017760317191</v>
      </c>
      <c r="Y61" s="240">
        <f t="shared" si="12"/>
        <v>-89200.230595052097</v>
      </c>
      <c r="Z61" s="240">
        <f t="shared" si="12"/>
        <v>-93392.64143301954</v>
      </c>
      <c r="AA61" s="240">
        <f t="shared" si="12"/>
        <v>-97782.095580371461</v>
      </c>
      <c r="AB61" s="240">
        <f t="shared" si="12"/>
        <v>-102377.8540726489</v>
      </c>
      <c r="AC61" s="240">
        <f t="shared" si="12"/>
        <v>-107189.6132140634</v>
      </c>
      <c r="AD61" s="240">
        <f t="shared" si="12"/>
        <v>-112227.52503512437</v>
      </c>
      <c r="AE61" s="240">
        <f t="shared" si="12"/>
        <v>-117502.2187117752</v>
      </c>
      <c r="AF61" s="240">
        <f t="shared" si="12"/>
        <v>-123024.82299122863</v>
      </c>
      <c r="AG61" s="240">
        <f t="shared" si="12"/>
        <v>-128806.98967181638</v>
      </c>
    </row>
    <row r="62" spans="1:33" x14ac:dyDescent="0.2">
      <c r="A62" s="20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row>
    <row r="63" spans="1:33" x14ac:dyDescent="0.2">
      <c r="A63" s="208" t="s">
        <v>533</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row>
    <row r="64" spans="1:33" x14ac:dyDescent="0.2">
      <c r="A64" s="208" t="s">
        <v>533</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row>
    <row r="65" spans="1:33" ht="31.5" x14ac:dyDescent="0.2">
      <c r="A65" s="208" t="s">
        <v>537</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row>
    <row r="66" spans="1:33" ht="28.5" x14ac:dyDescent="0.2">
      <c r="A66" s="209" t="s">
        <v>311</v>
      </c>
      <c r="B66" s="241">
        <f t="shared" ref="B66:AG66" si="13">B59+B60</f>
        <v>43202.52</v>
      </c>
      <c r="C66" s="241">
        <f t="shared" si="13"/>
        <v>0</v>
      </c>
      <c r="D66" s="241">
        <f t="shared" si="13"/>
        <v>4313072.7954125367</v>
      </c>
      <c r="E66" s="241">
        <f t="shared" si="13"/>
        <v>9067172.9864513315</v>
      </c>
      <c r="F66" s="241">
        <f t="shared" si="13"/>
        <v>14403034.075243555</v>
      </c>
      <c r="G66" s="241">
        <f t="shared" si="13"/>
        <v>15079976.676780004</v>
      </c>
      <c r="H66" s="241">
        <f t="shared" si="13"/>
        <v>15788735.580588663</v>
      </c>
      <c r="I66" s="241">
        <f t="shared" si="13"/>
        <v>16530806.152876331</v>
      </c>
      <c r="J66" s="241">
        <f t="shared" si="13"/>
        <v>17307754.042061519</v>
      </c>
      <c r="K66" s="241">
        <f t="shared" si="13"/>
        <v>18121218.482038412</v>
      </c>
      <c r="L66" s="241">
        <f t="shared" si="13"/>
        <v>18972915.750694212</v>
      </c>
      <c r="M66" s="241">
        <f t="shared" si="13"/>
        <v>19864642.790976841</v>
      </c>
      <c r="N66" s="241">
        <f t="shared" si="13"/>
        <v>20798281.002152748</v>
      </c>
      <c r="O66" s="241">
        <f t="shared" si="13"/>
        <v>21775800.20925393</v>
      </c>
      <c r="P66" s="241">
        <f t="shared" si="13"/>
        <v>22799262.819088861</v>
      </c>
      <c r="Q66" s="241">
        <f t="shared" si="13"/>
        <v>23870828.171586037</v>
      </c>
      <c r="R66" s="241">
        <f t="shared" si="13"/>
        <v>24992757.09565058</v>
      </c>
      <c r="S66" s="241">
        <f t="shared" si="13"/>
        <v>26167416.679146159</v>
      </c>
      <c r="T66" s="241">
        <f t="shared" si="13"/>
        <v>27397285.263066024</v>
      </c>
      <c r="U66" s="241">
        <f t="shared" si="13"/>
        <v>28684957.670430124</v>
      </c>
      <c r="V66" s="241">
        <f t="shared" si="13"/>
        <v>30033150.680940337</v>
      </c>
      <c r="W66" s="241">
        <f t="shared" si="13"/>
        <v>31444708.762944527</v>
      </c>
      <c r="X66" s="241">
        <f t="shared" si="13"/>
        <v>32922610.07480292</v>
      </c>
      <c r="Y66" s="241">
        <f t="shared" si="13"/>
        <v>34469972.748318657</v>
      </c>
      <c r="Z66" s="241">
        <f t="shared" si="13"/>
        <v>36090061.46748963</v>
      </c>
      <c r="AA66" s="241">
        <f t="shared" si="13"/>
        <v>37786294.356461644</v>
      </c>
      <c r="AB66" s="241">
        <f t="shared" si="13"/>
        <v>39562250.191215336</v>
      </c>
      <c r="AC66" s="241">
        <f t="shared" si="13"/>
        <v>41421675.95020245</v>
      </c>
      <c r="AD66" s="241">
        <f t="shared" si="13"/>
        <v>43368494.719861962</v>
      </c>
      <c r="AE66" s="241">
        <f t="shared" si="13"/>
        <v>45406813.971695468</v>
      </c>
      <c r="AF66" s="241">
        <f t="shared" si="13"/>
        <v>47540934.228365153</v>
      </c>
      <c r="AG66" s="241">
        <f t="shared" si="13"/>
        <v>49775358.13709832</v>
      </c>
    </row>
    <row r="67" spans="1:33" x14ac:dyDescent="0.2">
      <c r="A67" s="208" t="s">
        <v>306</v>
      </c>
      <c r="B67" s="210"/>
      <c r="C67" s="240"/>
      <c r="D67" s="240">
        <f>-($B$25)*1.2*$B$28/$B$27</f>
        <v>-123475.7448</v>
      </c>
      <c r="E67" s="240">
        <f t="shared" ref="E67:AG67" si="14">D67</f>
        <v>-123475.7448</v>
      </c>
      <c r="F67" s="240">
        <f t="shared" si="14"/>
        <v>-123475.7448</v>
      </c>
      <c r="G67" s="240">
        <f t="shared" si="14"/>
        <v>-123475.7448</v>
      </c>
      <c r="H67" s="240">
        <f t="shared" si="14"/>
        <v>-123475.7448</v>
      </c>
      <c r="I67" s="240">
        <f t="shared" si="14"/>
        <v>-123475.7448</v>
      </c>
      <c r="J67" s="240">
        <f t="shared" si="14"/>
        <v>-123475.7448</v>
      </c>
      <c r="K67" s="240">
        <f t="shared" si="14"/>
        <v>-123475.7448</v>
      </c>
      <c r="L67" s="240">
        <f t="shared" si="14"/>
        <v>-123475.7448</v>
      </c>
      <c r="M67" s="240">
        <f t="shared" si="14"/>
        <v>-123475.7448</v>
      </c>
      <c r="N67" s="240">
        <f t="shared" si="14"/>
        <v>-123475.7448</v>
      </c>
      <c r="O67" s="240">
        <f t="shared" si="14"/>
        <v>-123475.7448</v>
      </c>
      <c r="P67" s="240">
        <f t="shared" si="14"/>
        <v>-123475.7448</v>
      </c>
      <c r="Q67" s="240">
        <f t="shared" si="14"/>
        <v>-123475.7448</v>
      </c>
      <c r="R67" s="240">
        <f t="shared" si="14"/>
        <v>-123475.7448</v>
      </c>
      <c r="S67" s="240">
        <f t="shared" si="14"/>
        <v>-123475.7448</v>
      </c>
      <c r="T67" s="240">
        <f t="shared" si="14"/>
        <v>-123475.7448</v>
      </c>
      <c r="U67" s="240">
        <f t="shared" si="14"/>
        <v>-123475.7448</v>
      </c>
      <c r="V67" s="240">
        <f t="shared" si="14"/>
        <v>-123475.7448</v>
      </c>
      <c r="W67" s="240">
        <f t="shared" si="14"/>
        <v>-123475.7448</v>
      </c>
      <c r="X67" s="240">
        <f t="shared" si="14"/>
        <v>-123475.7448</v>
      </c>
      <c r="Y67" s="240">
        <f t="shared" si="14"/>
        <v>-123475.7448</v>
      </c>
      <c r="Z67" s="240">
        <f t="shared" si="14"/>
        <v>-123475.7448</v>
      </c>
      <c r="AA67" s="240">
        <f t="shared" si="14"/>
        <v>-123475.7448</v>
      </c>
      <c r="AB67" s="240">
        <f t="shared" si="14"/>
        <v>-123475.7448</v>
      </c>
      <c r="AC67" s="240">
        <f t="shared" si="14"/>
        <v>-123475.7448</v>
      </c>
      <c r="AD67" s="240">
        <f t="shared" si="14"/>
        <v>-123475.7448</v>
      </c>
      <c r="AE67" s="240">
        <f t="shared" si="14"/>
        <v>-123475.7448</v>
      </c>
      <c r="AF67" s="240">
        <f t="shared" si="14"/>
        <v>-123475.7448</v>
      </c>
      <c r="AG67" s="240">
        <f t="shared" si="14"/>
        <v>-123475.7448</v>
      </c>
    </row>
    <row r="68" spans="1:33" ht="28.5" x14ac:dyDescent="0.2">
      <c r="A68" s="209" t="s">
        <v>307</v>
      </c>
      <c r="B68" s="241">
        <f t="shared" ref="B68:J68" si="15">B66+B67</f>
        <v>43202.52</v>
      </c>
      <c r="C68" s="241">
        <f>C66+C67</f>
        <v>0</v>
      </c>
      <c r="D68" s="241">
        <f>D66+D67</f>
        <v>4189597.0506125367</v>
      </c>
      <c r="E68" s="241">
        <f t="shared" si="15"/>
        <v>8943697.241651332</v>
      </c>
      <c r="F68" s="241">
        <f>F66+C67</f>
        <v>14403034.075243555</v>
      </c>
      <c r="G68" s="241">
        <f t="shared" si="15"/>
        <v>14956500.931980005</v>
      </c>
      <c r="H68" s="241">
        <f t="shared" si="15"/>
        <v>15665259.835788663</v>
      </c>
      <c r="I68" s="241">
        <f t="shared" si="15"/>
        <v>16407330.408076331</v>
      </c>
      <c r="J68" s="241">
        <f t="shared" si="15"/>
        <v>17184278.297261517</v>
      </c>
      <c r="K68" s="241">
        <f>K66+K67</f>
        <v>17997742.737238411</v>
      </c>
      <c r="L68" s="241">
        <f>L66+L67</f>
        <v>18849440.00589421</v>
      </c>
      <c r="M68" s="241">
        <f t="shared" ref="M68:AG68" si="16">M66+M67</f>
        <v>19741167.04617684</v>
      </c>
      <c r="N68" s="241">
        <f t="shared" si="16"/>
        <v>20674805.257352747</v>
      </c>
      <c r="O68" s="241">
        <f t="shared" si="16"/>
        <v>21652324.464453928</v>
      </c>
      <c r="P68" s="241">
        <f t="shared" si="16"/>
        <v>22675787.07428886</v>
      </c>
      <c r="Q68" s="241">
        <f t="shared" si="16"/>
        <v>23747352.426786035</v>
      </c>
      <c r="R68" s="241">
        <f t="shared" si="16"/>
        <v>24869281.350850578</v>
      </c>
      <c r="S68" s="241">
        <f t="shared" si="16"/>
        <v>26043940.934346158</v>
      </c>
      <c r="T68" s="241">
        <f t="shared" si="16"/>
        <v>27273809.518266022</v>
      </c>
      <c r="U68" s="241">
        <f t="shared" si="16"/>
        <v>28561481.925630122</v>
      </c>
      <c r="V68" s="241">
        <f t="shared" si="16"/>
        <v>29909674.936140336</v>
      </c>
      <c r="W68" s="241">
        <f t="shared" si="16"/>
        <v>31321233.018144526</v>
      </c>
      <c r="X68" s="241">
        <f t="shared" si="16"/>
        <v>32799134.330002919</v>
      </c>
      <c r="Y68" s="241">
        <f t="shared" si="16"/>
        <v>34346497.003518656</v>
      </c>
      <c r="Z68" s="241">
        <f t="shared" si="16"/>
        <v>35966585.722689629</v>
      </c>
      <c r="AA68" s="241">
        <f t="shared" si="16"/>
        <v>37662818.611661643</v>
      </c>
      <c r="AB68" s="241">
        <f t="shared" si="16"/>
        <v>39438774.446415335</v>
      </c>
      <c r="AC68" s="241">
        <f t="shared" si="16"/>
        <v>41298200.205402449</v>
      </c>
      <c r="AD68" s="241">
        <f t="shared" si="16"/>
        <v>43245018.975061961</v>
      </c>
      <c r="AE68" s="241">
        <f t="shared" si="16"/>
        <v>45283338.226895466</v>
      </c>
      <c r="AF68" s="241">
        <f t="shared" si="16"/>
        <v>47417458.483565152</v>
      </c>
      <c r="AG68" s="241">
        <f t="shared" si="16"/>
        <v>49651882.392298318</v>
      </c>
    </row>
    <row r="69" spans="1:33" x14ac:dyDescent="0.2">
      <c r="A69" s="208" t="s">
        <v>305</v>
      </c>
      <c r="B69" s="240">
        <f t="shared" ref="B69:AG69" si="17">-B56</f>
        <v>0</v>
      </c>
      <c r="C69" s="240">
        <f t="shared" si="17"/>
        <v>0</v>
      </c>
      <c r="D69" s="240">
        <f t="shared" si="17"/>
        <v>0</v>
      </c>
      <c r="E69" s="240">
        <f t="shared" si="17"/>
        <v>0</v>
      </c>
      <c r="F69" s="240">
        <f t="shared" si="17"/>
        <v>0</v>
      </c>
      <c r="G69" s="240">
        <f t="shared" si="17"/>
        <v>0</v>
      </c>
      <c r="H69" s="240">
        <f t="shared" si="17"/>
        <v>0</v>
      </c>
      <c r="I69" s="240">
        <f t="shared" si="17"/>
        <v>0</v>
      </c>
      <c r="J69" s="240">
        <f t="shared" si="17"/>
        <v>0</v>
      </c>
      <c r="K69" s="240">
        <f t="shared" si="17"/>
        <v>0</v>
      </c>
      <c r="L69" s="240">
        <f t="shared" si="17"/>
        <v>0</v>
      </c>
      <c r="M69" s="240">
        <f t="shared" si="17"/>
        <v>0</v>
      </c>
      <c r="N69" s="240">
        <f t="shared" si="17"/>
        <v>0</v>
      </c>
      <c r="O69" s="240">
        <f t="shared" si="17"/>
        <v>0</v>
      </c>
      <c r="P69" s="240">
        <f t="shared" si="17"/>
        <v>0</v>
      </c>
      <c r="Q69" s="240">
        <f t="shared" si="17"/>
        <v>0</v>
      </c>
      <c r="R69" s="240">
        <f t="shared" si="17"/>
        <v>0</v>
      </c>
      <c r="S69" s="240">
        <f t="shared" si="17"/>
        <v>0</v>
      </c>
      <c r="T69" s="240">
        <f t="shared" si="17"/>
        <v>0</v>
      </c>
      <c r="U69" s="240">
        <f t="shared" si="17"/>
        <v>0</v>
      </c>
      <c r="V69" s="240">
        <f t="shared" si="17"/>
        <v>0</v>
      </c>
      <c r="W69" s="240">
        <f t="shared" si="17"/>
        <v>0</v>
      </c>
      <c r="X69" s="240">
        <f t="shared" si="17"/>
        <v>0</v>
      </c>
      <c r="Y69" s="240">
        <f t="shared" si="17"/>
        <v>0</v>
      </c>
      <c r="Z69" s="240">
        <f t="shared" si="17"/>
        <v>0</v>
      </c>
      <c r="AA69" s="240">
        <f t="shared" si="17"/>
        <v>0</v>
      </c>
      <c r="AB69" s="240">
        <f t="shared" si="17"/>
        <v>0</v>
      </c>
      <c r="AC69" s="240">
        <f t="shared" si="17"/>
        <v>0</v>
      </c>
      <c r="AD69" s="240">
        <f t="shared" si="17"/>
        <v>0</v>
      </c>
      <c r="AE69" s="240">
        <f t="shared" si="17"/>
        <v>0</v>
      </c>
      <c r="AF69" s="240">
        <f t="shared" si="17"/>
        <v>0</v>
      </c>
      <c r="AG69" s="240">
        <f t="shared" si="17"/>
        <v>0</v>
      </c>
    </row>
    <row r="70" spans="1:33" ht="14.25" x14ac:dyDescent="0.2">
      <c r="A70" s="209" t="s">
        <v>310</v>
      </c>
      <c r="B70" s="241">
        <f t="shared" ref="B70:AG70" si="18">B68+B69</f>
        <v>43202.52</v>
      </c>
      <c r="C70" s="241">
        <f t="shared" si="18"/>
        <v>0</v>
      </c>
      <c r="D70" s="241">
        <f t="shared" si="18"/>
        <v>4189597.0506125367</v>
      </c>
      <c r="E70" s="241">
        <f t="shared" si="18"/>
        <v>8943697.241651332</v>
      </c>
      <c r="F70" s="241">
        <f t="shared" si="18"/>
        <v>14403034.075243555</v>
      </c>
      <c r="G70" s="241">
        <f t="shared" si="18"/>
        <v>14956500.931980005</v>
      </c>
      <c r="H70" s="241">
        <f t="shared" si="18"/>
        <v>15665259.835788663</v>
      </c>
      <c r="I70" s="241">
        <f t="shared" si="18"/>
        <v>16407330.408076331</v>
      </c>
      <c r="J70" s="241">
        <f t="shared" si="18"/>
        <v>17184278.297261517</v>
      </c>
      <c r="K70" s="241">
        <f t="shared" si="18"/>
        <v>17997742.737238411</v>
      </c>
      <c r="L70" s="241">
        <f t="shared" si="18"/>
        <v>18849440.00589421</v>
      </c>
      <c r="M70" s="241">
        <f t="shared" si="18"/>
        <v>19741167.04617684</v>
      </c>
      <c r="N70" s="241">
        <f t="shared" si="18"/>
        <v>20674805.257352747</v>
      </c>
      <c r="O70" s="241">
        <f t="shared" si="18"/>
        <v>21652324.464453928</v>
      </c>
      <c r="P70" s="241">
        <f t="shared" si="18"/>
        <v>22675787.07428886</v>
      </c>
      <c r="Q70" s="241">
        <f t="shared" si="18"/>
        <v>23747352.426786035</v>
      </c>
      <c r="R70" s="241">
        <f t="shared" si="18"/>
        <v>24869281.350850578</v>
      </c>
      <c r="S70" s="241">
        <f t="shared" si="18"/>
        <v>26043940.934346158</v>
      </c>
      <c r="T70" s="241">
        <f t="shared" si="18"/>
        <v>27273809.518266022</v>
      </c>
      <c r="U70" s="241">
        <f t="shared" si="18"/>
        <v>28561481.925630122</v>
      </c>
      <c r="V70" s="241">
        <f t="shared" si="18"/>
        <v>29909674.936140336</v>
      </c>
      <c r="W70" s="241">
        <f t="shared" si="18"/>
        <v>31321233.018144526</v>
      </c>
      <c r="X70" s="241">
        <f t="shared" si="18"/>
        <v>32799134.330002919</v>
      </c>
      <c r="Y70" s="241">
        <f t="shared" si="18"/>
        <v>34346497.003518656</v>
      </c>
      <c r="Z70" s="241">
        <f t="shared" si="18"/>
        <v>35966585.722689629</v>
      </c>
      <c r="AA70" s="241">
        <f t="shared" si="18"/>
        <v>37662818.611661643</v>
      </c>
      <c r="AB70" s="241">
        <f t="shared" si="18"/>
        <v>39438774.446415335</v>
      </c>
      <c r="AC70" s="241">
        <f t="shared" si="18"/>
        <v>41298200.205402449</v>
      </c>
      <c r="AD70" s="241">
        <f t="shared" si="18"/>
        <v>43245018.975061961</v>
      </c>
      <c r="AE70" s="241">
        <f t="shared" si="18"/>
        <v>45283338.226895466</v>
      </c>
      <c r="AF70" s="241">
        <f t="shared" si="18"/>
        <v>47417458.483565152</v>
      </c>
      <c r="AG70" s="241">
        <f t="shared" si="18"/>
        <v>49651882.392298318</v>
      </c>
    </row>
    <row r="71" spans="1:33" x14ac:dyDescent="0.2">
      <c r="A71" s="208" t="s">
        <v>304</v>
      </c>
      <c r="B71" s="240">
        <f t="shared" ref="B71:AG71" si="19">-B70*$B$36</f>
        <v>-8640.503999999999</v>
      </c>
      <c r="C71" s="240">
        <f t="shared" si="19"/>
        <v>0</v>
      </c>
      <c r="D71" s="240">
        <f t="shared" si="19"/>
        <v>-837919.41012250737</v>
      </c>
      <c r="E71" s="240">
        <f t="shared" si="19"/>
        <v>-1788739.4483302664</v>
      </c>
      <c r="F71" s="240">
        <f t="shared" si="19"/>
        <v>-2880606.8150487114</v>
      </c>
      <c r="G71" s="240">
        <f t="shared" si="19"/>
        <v>-2991300.1863960009</v>
      </c>
      <c r="H71" s="240">
        <f t="shared" si="19"/>
        <v>-3133051.9671577327</v>
      </c>
      <c r="I71" s="240">
        <f t="shared" si="19"/>
        <v>-3281466.0816152664</v>
      </c>
      <c r="J71" s="240">
        <f t="shared" si="19"/>
        <v>-3436855.6594523038</v>
      </c>
      <c r="K71" s="240">
        <f t="shared" si="19"/>
        <v>-3599548.5474476824</v>
      </c>
      <c r="L71" s="240">
        <f t="shared" si="19"/>
        <v>-3769888.001178842</v>
      </c>
      <c r="M71" s="240">
        <f t="shared" si="19"/>
        <v>-3948233.409235368</v>
      </c>
      <c r="N71" s="240">
        <f t="shared" si="19"/>
        <v>-4134961.0514705498</v>
      </c>
      <c r="O71" s="240">
        <f t="shared" si="19"/>
        <v>-4330464.8928907858</v>
      </c>
      <c r="P71" s="240">
        <f t="shared" si="19"/>
        <v>-4535157.4148577722</v>
      </c>
      <c r="Q71" s="240">
        <f t="shared" si="19"/>
        <v>-4749470.4853572072</v>
      </c>
      <c r="R71" s="240">
        <f t="shared" si="19"/>
        <v>-4973856.2701701159</v>
      </c>
      <c r="S71" s="240">
        <f t="shared" si="19"/>
        <v>-5208788.186869232</v>
      </c>
      <c r="T71" s="240">
        <f t="shared" si="19"/>
        <v>-5454761.9036532044</v>
      </c>
      <c r="U71" s="240">
        <f t="shared" si="19"/>
        <v>-5712296.3851260245</v>
      </c>
      <c r="V71" s="240">
        <f t="shared" si="19"/>
        <v>-5981934.9872280676</v>
      </c>
      <c r="W71" s="240">
        <f t="shared" si="19"/>
        <v>-6264246.6036289055</v>
      </c>
      <c r="X71" s="240">
        <f t="shared" si="19"/>
        <v>-6559826.8660005843</v>
      </c>
      <c r="Y71" s="240">
        <f t="shared" si="19"/>
        <v>-6869299.4007037319</v>
      </c>
      <c r="Z71" s="240">
        <f t="shared" si="19"/>
        <v>-7193317.1445379257</v>
      </c>
      <c r="AA71" s="240">
        <f t="shared" si="19"/>
        <v>-7532563.7223323286</v>
      </c>
      <c r="AB71" s="240">
        <f t="shared" si="19"/>
        <v>-7887754.8892830675</v>
      </c>
      <c r="AC71" s="240">
        <f t="shared" si="19"/>
        <v>-8259640.0410804898</v>
      </c>
      <c r="AD71" s="240">
        <f t="shared" si="19"/>
        <v>-8649003.7950123921</v>
      </c>
      <c r="AE71" s="240">
        <f t="shared" si="19"/>
        <v>-9056667.6453790944</v>
      </c>
      <c r="AF71" s="240">
        <f t="shared" si="19"/>
        <v>-9483491.6967130303</v>
      </c>
      <c r="AG71" s="240">
        <f t="shared" si="19"/>
        <v>-9930376.4784596637</v>
      </c>
    </row>
    <row r="72" spans="1:33" ht="15" thickBot="1" x14ac:dyDescent="0.25">
      <c r="A72" s="211" t="s">
        <v>309</v>
      </c>
      <c r="B72" s="212">
        <f t="shared" ref="B72:AG72" si="20">B70+B71</f>
        <v>34562.015999999996</v>
      </c>
      <c r="C72" s="212">
        <f t="shared" si="20"/>
        <v>0</v>
      </c>
      <c r="D72" s="212">
        <f t="shared" si="20"/>
        <v>3351677.6404900295</v>
      </c>
      <c r="E72" s="212">
        <f t="shared" si="20"/>
        <v>7154957.7933210656</v>
      </c>
      <c r="F72" s="212">
        <f t="shared" si="20"/>
        <v>11522427.260194844</v>
      </c>
      <c r="G72" s="212">
        <f t="shared" si="20"/>
        <v>11965200.745584004</v>
      </c>
      <c r="H72" s="212">
        <f t="shared" si="20"/>
        <v>12532207.868630931</v>
      </c>
      <c r="I72" s="212">
        <f t="shared" si="20"/>
        <v>13125864.326461066</v>
      </c>
      <c r="J72" s="212">
        <f t="shared" si="20"/>
        <v>13747422.637809213</v>
      </c>
      <c r="K72" s="212">
        <f t="shared" si="20"/>
        <v>14398194.189790729</v>
      </c>
      <c r="L72" s="212">
        <f t="shared" si="20"/>
        <v>15079552.004715368</v>
      </c>
      <c r="M72" s="212">
        <f t="shared" si="20"/>
        <v>15792933.636941472</v>
      </c>
      <c r="N72" s="212">
        <f t="shared" si="20"/>
        <v>16539844.205882197</v>
      </c>
      <c r="O72" s="212">
        <f t="shared" si="20"/>
        <v>17321859.571563143</v>
      </c>
      <c r="P72" s="212">
        <f t="shared" si="20"/>
        <v>18140629.659431089</v>
      </c>
      <c r="Q72" s="212">
        <f t="shared" si="20"/>
        <v>18997881.941428829</v>
      </c>
      <c r="R72" s="212">
        <f t="shared" si="20"/>
        <v>19895425.080680463</v>
      </c>
      <c r="S72" s="212">
        <f t="shared" si="20"/>
        <v>20835152.747476928</v>
      </c>
      <c r="T72" s="212">
        <f t="shared" si="20"/>
        <v>21819047.614612818</v>
      </c>
      <c r="U72" s="212">
        <f t="shared" si="20"/>
        <v>22849185.540504098</v>
      </c>
      <c r="V72" s="212">
        <f t="shared" si="20"/>
        <v>23927739.94891227</v>
      </c>
      <c r="W72" s="212">
        <f t="shared" si="20"/>
        <v>25056986.414515622</v>
      </c>
      <c r="X72" s="212">
        <f t="shared" si="20"/>
        <v>26239307.464002334</v>
      </c>
      <c r="Y72" s="212">
        <f t="shared" si="20"/>
        <v>27477197.602814924</v>
      </c>
      <c r="Z72" s="212">
        <f t="shared" si="20"/>
        <v>28773268.578151703</v>
      </c>
      <c r="AA72" s="212">
        <f t="shared" si="20"/>
        <v>30130254.889329314</v>
      </c>
      <c r="AB72" s="212">
        <f t="shared" si="20"/>
        <v>31551019.557132266</v>
      </c>
      <c r="AC72" s="212">
        <f t="shared" si="20"/>
        <v>33038560.164321959</v>
      </c>
      <c r="AD72" s="212">
        <f t="shared" si="20"/>
        <v>34596015.180049568</v>
      </c>
      <c r="AE72" s="212">
        <f t="shared" si="20"/>
        <v>36226670.58151637</v>
      </c>
      <c r="AF72" s="212">
        <f t="shared" si="20"/>
        <v>37933966.786852121</v>
      </c>
      <c r="AG72" s="212">
        <f t="shared" si="20"/>
        <v>39721505.913838655</v>
      </c>
    </row>
    <row r="73" spans="1:33" s="214" customFormat="1" ht="16.5" thickBot="1" x14ac:dyDescent="0.25">
      <c r="A73" s="204"/>
      <c r="B73" s="213">
        <f>B132</f>
        <v>0</v>
      </c>
      <c r="C73" s="213">
        <f t="shared" ref="C73:AG73" si="21">C132</f>
        <v>0.5</v>
      </c>
      <c r="D73" s="213">
        <f t="shared" si="21"/>
        <v>1.5</v>
      </c>
      <c r="E73" s="213">
        <f t="shared" si="21"/>
        <v>2.5</v>
      </c>
      <c r="F73" s="213">
        <f t="shared" si="21"/>
        <v>3.5</v>
      </c>
      <c r="G73" s="213">
        <f t="shared" si="21"/>
        <v>4.5</v>
      </c>
      <c r="H73" s="213">
        <f t="shared" si="21"/>
        <v>5.5</v>
      </c>
      <c r="I73" s="213">
        <f t="shared" si="21"/>
        <v>6.5</v>
      </c>
      <c r="J73" s="213">
        <f t="shared" si="21"/>
        <v>7.5</v>
      </c>
      <c r="K73" s="213">
        <f t="shared" si="21"/>
        <v>8.5</v>
      </c>
      <c r="L73" s="213">
        <f t="shared" si="21"/>
        <v>9.5</v>
      </c>
      <c r="M73" s="213">
        <f t="shared" si="21"/>
        <v>10.5</v>
      </c>
      <c r="N73" s="213">
        <f t="shared" si="21"/>
        <v>11.5</v>
      </c>
      <c r="O73" s="213">
        <f t="shared" si="21"/>
        <v>12.5</v>
      </c>
      <c r="P73" s="213">
        <f t="shared" si="21"/>
        <v>13.5</v>
      </c>
      <c r="Q73" s="213">
        <f t="shared" si="21"/>
        <v>14.5</v>
      </c>
      <c r="R73" s="213">
        <f t="shared" si="21"/>
        <v>15.5</v>
      </c>
      <c r="S73" s="213">
        <f t="shared" si="21"/>
        <v>16.5</v>
      </c>
      <c r="T73" s="213">
        <f t="shared" si="21"/>
        <v>17.5</v>
      </c>
      <c r="U73" s="213">
        <f t="shared" si="21"/>
        <v>18.5</v>
      </c>
      <c r="V73" s="213">
        <f t="shared" si="21"/>
        <v>19.5</v>
      </c>
      <c r="W73" s="213">
        <f t="shared" si="21"/>
        <v>20.5</v>
      </c>
      <c r="X73" s="213">
        <f t="shared" si="21"/>
        <v>21.5</v>
      </c>
      <c r="Y73" s="213">
        <f t="shared" si="21"/>
        <v>22.5</v>
      </c>
      <c r="Z73" s="213">
        <f t="shared" si="21"/>
        <v>23.5</v>
      </c>
      <c r="AA73" s="213">
        <f t="shared" si="21"/>
        <v>24.5</v>
      </c>
      <c r="AB73" s="213">
        <f t="shared" si="21"/>
        <v>25.5</v>
      </c>
      <c r="AC73" s="213">
        <f t="shared" si="21"/>
        <v>26.5</v>
      </c>
      <c r="AD73" s="213">
        <f t="shared" si="21"/>
        <v>27.5</v>
      </c>
      <c r="AE73" s="213">
        <f t="shared" si="21"/>
        <v>28.5</v>
      </c>
      <c r="AF73" s="213">
        <f t="shared" si="21"/>
        <v>29.5</v>
      </c>
      <c r="AG73" s="213">
        <f t="shared" si="21"/>
        <v>30.5</v>
      </c>
    </row>
    <row r="74" spans="1:33" x14ac:dyDescent="0.2">
      <c r="A74" s="199" t="s">
        <v>308</v>
      </c>
      <c r="B74" s="200">
        <f t="shared" ref="B74:AG74" si="22">B58</f>
        <v>1</v>
      </c>
      <c r="C74" s="200">
        <f t="shared" si="22"/>
        <v>2</v>
      </c>
      <c r="D74" s="200">
        <f t="shared" si="22"/>
        <v>3</v>
      </c>
      <c r="E74" s="200">
        <f t="shared" si="22"/>
        <v>4</v>
      </c>
      <c r="F74" s="200">
        <f t="shared" si="22"/>
        <v>5</v>
      </c>
      <c r="G74" s="200">
        <f t="shared" si="22"/>
        <v>6</v>
      </c>
      <c r="H74" s="200">
        <f t="shared" si="22"/>
        <v>7</v>
      </c>
      <c r="I74" s="200">
        <f t="shared" si="22"/>
        <v>8</v>
      </c>
      <c r="J74" s="200">
        <f t="shared" si="22"/>
        <v>9</v>
      </c>
      <c r="K74" s="200">
        <f t="shared" si="22"/>
        <v>10</v>
      </c>
      <c r="L74" s="200">
        <f t="shared" si="22"/>
        <v>11</v>
      </c>
      <c r="M74" s="200">
        <f t="shared" si="22"/>
        <v>12</v>
      </c>
      <c r="N74" s="200">
        <f t="shared" si="22"/>
        <v>13</v>
      </c>
      <c r="O74" s="200">
        <f t="shared" si="22"/>
        <v>14</v>
      </c>
      <c r="P74" s="200">
        <f t="shared" si="22"/>
        <v>15</v>
      </c>
      <c r="Q74" s="200">
        <f t="shared" si="22"/>
        <v>16</v>
      </c>
      <c r="R74" s="200">
        <f t="shared" si="22"/>
        <v>17</v>
      </c>
      <c r="S74" s="200">
        <f t="shared" si="22"/>
        <v>18</v>
      </c>
      <c r="T74" s="200">
        <f t="shared" si="22"/>
        <v>19</v>
      </c>
      <c r="U74" s="200">
        <f t="shared" si="22"/>
        <v>20</v>
      </c>
      <c r="V74" s="200">
        <f t="shared" si="22"/>
        <v>21</v>
      </c>
      <c r="W74" s="200">
        <f t="shared" si="22"/>
        <v>22</v>
      </c>
      <c r="X74" s="200">
        <f t="shared" si="22"/>
        <v>23</v>
      </c>
      <c r="Y74" s="200">
        <f t="shared" si="22"/>
        <v>24</v>
      </c>
      <c r="Z74" s="200">
        <f t="shared" si="22"/>
        <v>25</v>
      </c>
      <c r="AA74" s="200">
        <f t="shared" si="22"/>
        <v>26</v>
      </c>
      <c r="AB74" s="200">
        <f t="shared" si="22"/>
        <v>27</v>
      </c>
      <c r="AC74" s="200">
        <f t="shared" si="22"/>
        <v>28</v>
      </c>
      <c r="AD74" s="200">
        <f t="shared" si="22"/>
        <v>29</v>
      </c>
      <c r="AE74" s="200">
        <f t="shared" si="22"/>
        <v>30</v>
      </c>
      <c r="AF74" s="200">
        <f t="shared" si="22"/>
        <v>31</v>
      </c>
      <c r="AG74" s="200">
        <f t="shared" si="22"/>
        <v>32</v>
      </c>
    </row>
    <row r="75" spans="1:33" ht="28.5" x14ac:dyDescent="0.2">
      <c r="A75" s="207" t="s">
        <v>307</v>
      </c>
      <c r="B75" s="241">
        <f t="shared" ref="B75:AG75" si="23">B68</f>
        <v>43202.52</v>
      </c>
      <c r="C75" s="241">
        <f t="shared" si="23"/>
        <v>0</v>
      </c>
      <c r="D75" s="241">
        <f>D68</f>
        <v>4189597.0506125367</v>
      </c>
      <c r="E75" s="241">
        <f t="shared" si="23"/>
        <v>8943697.241651332</v>
      </c>
      <c r="F75" s="241">
        <f t="shared" si="23"/>
        <v>14403034.075243555</v>
      </c>
      <c r="G75" s="241">
        <f t="shared" si="23"/>
        <v>14956500.931980005</v>
      </c>
      <c r="H75" s="241">
        <f t="shared" si="23"/>
        <v>15665259.835788663</v>
      </c>
      <c r="I75" s="241">
        <f t="shared" si="23"/>
        <v>16407330.408076331</v>
      </c>
      <c r="J75" s="241">
        <f t="shared" si="23"/>
        <v>17184278.297261517</v>
      </c>
      <c r="K75" s="241">
        <f t="shared" si="23"/>
        <v>17997742.737238411</v>
      </c>
      <c r="L75" s="241">
        <f t="shared" si="23"/>
        <v>18849440.00589421</v>
      </c>
      <c r="M75" s="241">
        <f t="shared" si="23"/>
        <v>19741167.04617684</v>
      </c>
      <c r="N75" s="241">
        <f t="shared" si="23"/>
        <v>20674805.257352747</v>
      </c>
      <c r="O75" s="241">
        <f t="shared" si="23"/>
        <v>21652324.464453928</v>
      </c>
      <c r="P75" s="241">
        <f t="shared" si="23"/>
        <v>22675787.07428886</v>
      </c>
      <c r="Q75" s="241">
        <f t="shared" si="23"/>
        <v>23747352.426786035</v>
      </c>
      <c r="R75" s="241">
        <f t="shared" si="23"/>
        <v>24869281.350850578</v>
      </c>
      <c r="S75" s="241">
        <f t="shared" si="23"/>
        <v>26043940.934346158</v>
      </c>
      <c r="T75" s="241">
        <f t="shared" si="23"/>
        <v>27273809.518266022</v>
      </c>
      <c r="U75" s="241">
        <f t="shared" si="23"/>
        <v>28561481.925630122</v>
      </c>
      <c r="V75" s="241">
        <f t="shared" si="23"/>
        <v>29909674.936140336</v>
      </c>
      <c r="W75" s="241">
        <f t="shared" si="23"/>
        <v>31321233.018144526</v>
      </c>
      <c r="X75" s="241">
        <f t="shared" si="23"/>
        <v>32799134.330002919</v>
      </c>
      <c r="Y75" s="241">
        <f t="shared" si="23"/>
        <v>34346497.003518656</v>
      </c>
      <c r="Z75" s="241">
        <f t="shared" si="23"/>
        <v>35966585.722689629</v>
      </c>
      <c r="AA75" s="241">
        <f t="shared" si="23"/>
        <v>37662818.611661643</v>
      </c>
      <c r="AB75" s="241">
        <f t="shared" si="23"/>
        <v>39438774.446415335</v>
      </c>
      <c r="AC75" s="241">
        <f t="shared" si="23"/>
        <v>41298200.205402449</v>
      </c>
      <c r="AD75" s="241">
        <f t="shared" si="23"/>
        <v>43245018.975061961</v>
      </c>
      <c r="AE75" s="241">
        <f t="shared" si="23"/>
        <v>45283338.226895466</v>
      </c>
      <c r="AF75" s="241">
        <f t="shared" si="23"/>
        <v>47417458.483565152</v>
      </c>
      <c r="AG75" s="241">
        <f t="shared" si="23"/>
        <v>49651882.392298318</v>
      </c>
    </row>
    <row r="76" spans="1:33" x14ac:dyDescent="0.2">
      <c r="A76" s="208" t="s">
        <v>306</v>
      </c>
      <c r="B76" s="240">
        <f t="shared" ref="B76:AG76" si="24">-B67</f>
        <v>0</v>
      </c>
      <c r="C76" s="240">
        <f>-C67</f>
        <v>0</v>
      </c>
      <c r="D76" s="240">
        <f t="shared" si="24"/>
        <v>123475.7448</v>
      </c>
      <c r="E76" s="240">
        <f t="shared" si="24"/>
        <v>123475.7448</v>
      </c>
      <c r="F76" s="240">
        <f>-C67</f>
        <v>0</v>
      </c>
      <c r="G76" s="240">
        <f t="shared" si="24"/>
        <v>123475.7448</v>
      </c>
      <c r="H76" s="240">
        <f t="shared" si="24"/>
        <v>123475.7448</v>
      </c>
      <c r="I76" s="240">
        <f t="shared" si="24"/>
        <v>123475.7448</v>
      </c>
      <c r="J76" s="240">
        <f t="shared" si="24"/>
        <v>123475.7448</v>
      </c>
      <c r="K76" s="240">
        <f t="shared" si="24"/>
        <v>123475.7448</v>
      </c>
      <c r="L76" s="240">
        <f>-L67</f>
        <v>123475.7448</v>
      </c>
      <c r="M76" s="240">
        <f>-M67</f>
        <v>123475.7448</v>
      </c>
      <c r="N76" s="240">
        <f t="shared" si="24"/>
        <v>123475.7448</v>
      </c>
      <c r="O76" s="240">
        <f t="shared" si="24"/>
        <v>123475.7448</v>
      </c>
      <c r="P76" s="240">
        <f t="shared" si="24"/>
        <v>123475.7448</v>
      </c>
      <c r="Q76" s="240">
        <f t="shared" si="24"/>
        <v>123475.7448</v>
      </c>
      <c r="R76" s="240">
        <f t="shared" si="24"/>
        <v>123475.7448</v>
      </c>
      <c r="S76" s="240">
        <f t="shared" si="24"/>
        <v>123475.7448</v>
      </c>
      <c r="T76" s="240">
        <f t="shared" si="24"/>
        <v>123475.7448</v>
      </c>
      <c r="U76" s="240">
        <f t="shared" si="24"/>
        <v>123475.7448</v>
      </c>
      <c r="V76" s="240">
        <f t="shared" si="24"/>
        <v>123475.7448</v>
      </c>
      <c r="W76" s="240">
        <f t="shared" si="24"/>
        <v>123475.7448</v>
      </c>
      <c r="X76" s="240">
        <f t="shared" si="24"/>
        <v>123475.7448</v>
      </c>
      <c r="Y76" s="240">
        <f t="shared" si="24"/>
        <v>123475.7448</v>
      </c>
      <c r="Z76" s="240">
        <f t="shared" si="24"/>
        <v>123475.7448</v>
      </c>
      <c r="AA76" s="240">
        <f t="shared" si="24"/>
        <v>123475.7448</v>
      </c>
      <c r="AB76" s="240">
        <f t="shared" si="24"/>
        <v>123475.7448</v>
      </c>
      <c r="AC76" s="240">
        <f t="shared" si="24"/>
        <v>123475.7448</v>
      </c>
      <c r="AD76" s="240">
        <f t="shared" si="24"/>
        <v>123475.7448</v>
      </c>
      <c r="AE76" s="240">
        <f t="shared" si="24"/>
        <v>123475.7448</v>
      </c>
      <c r="AF76" s="240">
        <f t="shared" si="24"/>
        <v>123475.7448</v>
      </c>
      <c r="AG76" s="240">
        <f t="shared" si="24"/>
        <v>123475.7448</v>
      </c>
    </row>
    <row r="77" spans="1:33" x14ac:dyDescent="0.2">
      <c r="A77" s="208" t="s">
        <v>305</v>
      </c>
      <c r="B77" s="240">
        <f t="shared" ref="B77:AG77" si="25">B69</f>
        <v>0</v>
      </c>
      <c r="C77" s="240">
        <f t="shared" si="25"/>
        <v>0</v>
      </c>
      <c r="D77" s="240">
        <f t="shared" si="25"/>
        <v>0</v>
      </c>
      <c r="E77" s="240">
        <f t="shared" si="25"/>
        <v>0</v>
      </c>
      <c r="F77" s="240">
        <f t="shared" si="25"/>
        <v>0</v>
      </c>
      <c r="G77" s="240">
        <f t="shared" si="25"/>
        <v>0</v>
      </c>
      <c r="H77" s="240">
        <f t="shared" si="25"/>
        <v>0</v>
      </c>
      <c r="I77" s="240">
        <f t="shared" si="25"/>
        <v>0</v>
      </c>
      <c r="J77" s="240">
        <f t="shared" si="25"/>
        <v>0</v>
      </c>
      <c r="K77" s="240">
        <f t="shared" si="25"/>
        <v>0</v>
      </c>
      <c r="L77" s="240">
        <f t="shared" si="25"/>
        <v>0</v>
      </c>
      <c r="M77" s="240">
        <f t="shared" si="25"/>
        <v>0</v>
      </c>
      <c r="N77" s="240">
        <f t="shared" si="25"/>
        <v>0</v>
      </c>
      <c r="O77" s="240">
        <f t="shared" si="25"/>
        <v>0</v>
      </c>
      <c r="P77" s="240">
        <f t="shared" si="25"/>
        <v>0</v>
      </c>
      <c r="Q77" s="240">
        <f t="shared" si="25"/>
        <v>0</v>
      </c>
      <c r="R77" s="240">
        <f t="shared" si="25"/>
        <v>0</v>
      </c>
      <c r="S77" s="240">
        <f t="shared" si="25"/>
        <v>0</v>
      </c>
      <c r="T77" s="240">
        <f t="shared" si="25"/>
        <v>0</v>
      </c>
      <c r="U77" s="240">
        <f t="shared" si="25"/>
        <v>0</v>
      </c>
      <c r="V77" s="240">
        <f t="shared" si="25"/>
        <v>0</v>
      </c>
      <c r="W77" s="240">
        <f t="shared" si="25"/>
        <v>0</v>
      </c>
      <c r="X77" s="240">
        <f t="shared" si="25"/>
        <v>0</v>
      </c>
      <c r="Y77" s="240">
        <f t="shared" si="25"/>
        <v>0</v>
      </c>
      <c r="Z77" s="240">
        <f t="shared" si="25"/>
        <v>0</v>
      </c>
      <c r="AA77" s="240">
        <f t="shared" si="25"/>
        <v>0</v>
      </c>
      <c r="AB77" s="240">
        <f t="shared" si="25"/>
        <v>0</v>
      </c>
      <c r="AC77" s="240">
        <f t="shared" si="25"/>
        <v>0</v>
      </c>
      <c r="AD77" s="240">
        <f t="shared" si="25"/>
        <v>0</v>
      </c>
      <c r="AE77" s="240">
        <f t="shared" si="25"/>
        <v>0</v>
      </c>
      <c r="AF77" s="240">
        <f t="shared" si="25"/>
        <v>0</v>
      </c>
      <c r="AG77" s="240">
        <f t="shared" si="25"/>
        <v>0</v>
      </c>
    </row>
    <row r="78" spans="1:33" x14ac:dyDescent="0.2">
      <c r="A78" s="208" t="s">
        <v>304</v>
      </c>
      <c r="B78" s="240">
        <f>IF(SUM($B$71:B71)+SUM($A$78:A78)&gt;0,0,SUM($B$71:B71)-SUM($A$78:A78))</f>
        <v>-8640.503999999999</v>
      </c>
      <c r="C78" s="240">
        <f>IF(SUM($B$71:C71)+SUM($A$78:B78)&gt;0,0,SUM($B$71:C71)-SUM($A$78:B78))</f>
        <v>0</v>
      </c>
      <c r="D78" s="240">
        <f>IF(SUM($B$71:D71)+SUM($A$78:C78)&gt;0,0,SUM($B$71:D71)-SUM($A$78:C78))</f>
        <v>-837919.41012250737</v>
      </c>
      <c r="E78" s="240">
        <f>IF(SUM($B$71:E71)+SUM($A$78:D78)&gt;0,0,SUM($B$71:E71)-SUM($A$78:D78))</f>
        <v>-1788739.4483302664</v>
      </c>
      <c r="F78" s="240">
        <f>IF(SUM($B$71:F71)+SUM($A$78:E78)&gt;0,0,SUM($B$71:F71)-SUM($A$78:E78))</f>
        <v>-2880606.8150487109</v>
      </c>
      <c r="G78" s="240">
        <f>IF(SUM($B$71:G71)+SUM($A$78:F78)&gt;0,0,SUM($B$71:G71)-SUM($A$78:F78))</f>
        <v>-2991300.1863960009</v>
      </c>
      <c r="H78" s="240">
        <f>IF(SUM($B$71:H71)+SUM($A$78:G78)&gt;0,0,SUM($B$71:H71)-SUM($A$78:G78))</f>
        <v>-3133051.9671577327</v>
      </c>
      <c r="I78" s="240">
        <f>IF(SUM($B$71:I71)+SUM($A$78:H78)&gt;0,0,SUM($B$71:I71)-SUM($A$78:H78))</f>
        <v>-3281466.0816152673</v>
      </c>
      <c r="J78" s="240">
        <f>IF(SUM($B$71:J71)+SUM($A$78:I78)&gt;0,0,SUM($B$71:J71)-SUM($A$78:I78))</f>
        <v>-3436855.6594523042</v>
      </c>
      <c r="K78" s="240">
        <f>IF(SUM($B$71:K71)+SUM($A$78:J78)&gt;0,0,SUM($B$71:K71)-SUM($A$78:J78))</f>
        <v>-3599548.5474476814</v>
      </c>
      <c r="L78" s="240">
        <f>IF(SUM($B$71:L71)+SUM($A$78:K78)&gt;0,0,SUM($B$71:L71)-SUM($A$78:K78))</f>
        <v>-3769888.001178842</v>
      </c>
      <c r="M78" s="240">
        <f>IF(SUM($B$71:M71)+SUM($A$78:L78)&gt;0,0,SUM($B$71:M71)-SUM($A$78:L78))</f>
        <v>-3948233.4092353694</v>
      </c>
      <c r="N78" s="240">
        <f>IF(SUM($B$71:N71)+SUM($A$78:M78)&gt;0,0,SUM($B$71:N71)-SUM($A$78:M78))</f>
        <v>-4134961.0514705479</v>
      </c>
      <c r="O78" s="240">
        <f>IF(SUM($B$71:O71)+SUM($A$78:N78)&gt;0,0,SUM($B$71:O71)-SUM($A$78:N78))</f>
        <v>-4330464.8928907886</v>
      </c>
      <c r="P78" s="240">
        <f>IF(SUM($B$71:P71)+SUM($A$78:O78)&gt;0,0,SUM($B$71:P71)-SUM($A$78:O78))</f>
        <v>-4535157.414857775</v>
      </c>
      <c r="Q78" s="240">
        <f>IF(SUM($B$71:Q71)+SUM($A$78:P78)&gt;0,0,SUM($B$71:Q71)-SUM($A$78:P78))</f>
        <v>-4749470.48535721</v>
      </c>
      <c r="R78" s="240">
        <f>IF(SUM($B$71:R71)+SUM($A$78:Q78)&gt;0,0,SUM($B$71:R71)-SUM($A$78:Q78))</f>
        <v>-4973856.2701701149</v>
      </c>
      <c r="S78" s="240">
        <f>IF(SUM($B$71:S71)+SUM($A$78:R78)&gt;0,0,SUM($B$71:S71)-SUM($A$78:R78))</f>
        <v>-5208788.1868692338</v>
      </c>
      <c r="T78" s="240">
        <f>IF(SUM($B$71:T71)+SUM($A$78:S78)&gt;0,0,SUM($B$71:T71)-SUM($A$78:S78))</f>
        <v>-5454761.9036532044</v>
      </c>
      <c r="U78" s="240">
        <f>IF(SUM($B$71:U71)+SUM($A$78:T78)&gt;0,0,SUM($B$71:U71)-SUM($A$78:T78))</f>
        <v>-5712296.3851260245</v>
      </c>
      <c r="V78" s="240">
        <f>IF(SUM($B$71:V71)+SUM($A$78:U78)&gt;0,0,SUM($B$71:V71)-SUM($A$78:U78))</f>
        <v>-5981934.9872280657</v>
      </c>
      <c r="W78" s="240">
        <f>IF(SUM($B$71:W71)+SUM($A$78:V78)&gt;0,0,SUM($B$71:W71)-SUM($A$78:V78))</f>
        <v>-6264246.6036289036</v>
      </c>
      <c r="X78" s="240">
        <f>IF(SUM($B$71:X71)+SUM($A$78:W78)&gt;0,0,SUM($B$71:X71)-SUM($A$78:W78))</f>
        <v>-6559826.8660005778</v>
      </c>
      <c r="Y78" s="240">
        <f>IF(SUM($B$71:Y71)+SUM($A$78:X78)&gt;0,0,SUM($B$71:Y71)-SUM($A$78:X78))</f>
        <v>-6869299.4007037282</v>
      </c>
      <c r="Z78" s="240">
        <f>IF(SUM($B$71:Z71)+SUM($A$78:Y78)&gt;0,0,SUM($B$71:Z71)-SUM($A$78:Y78))</f>
        <v>-7193317.1445379257</v>
      </c>
      <c r="AA78" s="240">
        <f>IF(SUM($B$71:AA71)+SUM($A$78:Z78)&gt;0,0,SUM($B$71:AA71)-SUM($A$78:Z78))</f>
        <v>-7532563.7223323286</v>
      </c>
      <c r="AB78" s="240">
        <f>IF(SUM($B$71:AB71)+SUM($A$78:AA78)&gt;0,0,SUM($B$71:AB71)-SUM($A$78:AA78))</f>
        <v>-7887754.889283061</v>
      </c>
      <c r="AC78" s="240">
        <f>IF(SUM($B$71:AC71)+SUM($A$78:AB78)&gt;0,0,SUM($B$71:AC71)-SUM($A$78:AB78))</f>
        <v>-8259640.0410804898</v>
      </c>
      <c r="AD78" s="240">
        <f>IF(SUM($B$71:AD71)+SUM($A$78:AC78)&gt;0,0,SUM($B$71:AD71)-SUM($A$78:AC78))</f>
        <v>-8649003.7950123996</v>
      </c>
      <c r="AE78" s="240">
        <f>IF(SUM($B$71:AE71)+SUM($A$78:AD78)&gt;0,0,SUM($B$71:AE71)-SUM($A$78:AD78))</f>
        <v>-9056667.6453790963</v>
      </c>
      <c r="AF78" s="240">
        <f>IF(SUM($B$71:AF71)+SUM($A$78:AE78)&gt;0,0,SUM($B$71:AF71)-SUM($A$78:AE78))</f>
        <v>-9483491.6967130303</v>
      </c>
      <c r="AG78" s="240">
        <f>IF(SUM($B$71:AG71)+SUM($A$78:AF78)&gt;0,0,SUM($B$71:AG71)-SUM($A$78:AF78))</f>
        <v>-9930376.4784596562</v>
      </c>
    </row>
    <row r="79" spans="1:33" x14ac:dyDescent="0.2">
      <c r="A79" s="208" t="s">
        <v>303</v>
      </c>
      <c r="B79" s="240">
        <f>IF(((SUM($B$59:B59)+SUM($B$61:B64))+SUM($B$81:B81))&lt;0,((SUM($B$59:B59)+SUM($B$61:B64))+SUM($B$81:B81))*0.2-SUM($A$79:A79),IF(SUM(A$79:$B79)&lt;0,0-SUM(A$79:$B79),0))</f>
        <v>-627793.41999999993</v>
      </c>
      <c r="C79" s="240">
        <f>IF(((SUM($B$59:C59)+SUM($B$61:C64))+SUM($B$81:C81))&lt;0,((SUM($B$59:C59)+SUM($B$61:C64))+SUM($B$81:C81))*0.2-SUM($A$79:B79),IF(SUM(B$79:$B79)&lt;0,0-SUM(B$79:$B79),0))</f>
        <v>0</v>
      </c>
      <c r="D79" s="240">
        <f>IF(((SUM($B$59:D59)+SUM($B$61:D64))+SUM($B$81:D81))&lt;0,((SUM($B$59:D59)+SUM($B$61:D64))+SUM($B$81:D81))*0.2-SUM($A$79:C79),IF(SUM($B$79:C79)&lt;0,0-SUM($B$79:C79),0))</f>
        <v>627793.41999999993</v>
      </c>
      <c r="E79" s="240">
        <f>IF(((SUM($B$59:E59)+SUM($B$61:E64))+SUM($B$81:E81))&lt;0,((SUM($B$59:E59)+SUM($B$61:E64))+SUM($B$81:E81))*0.2-SUM($A$79:D79),IF(SUM($B$79:D79)&lt;0,0-SUM($B$79:D79),0))</f>
        <v>0</v>
      </c>
      <c r="F79" s="240">
        <f>IF(((SUM($B$59:F59)+SUM($B$61:F64))+SUM($B$81:F81))&lt;0,((SUM($B$59:F59)+SUM($B$61:F64))+SUM($B$81:F81))*0.2-SUM($A$79:E79),IF(SUM($B$79:E79)&lt;0,0-SUM($B$79:E79),0))</f>
        <v>0</v>
      </c>
      <c r="G79" s="240">
        <f>IF(((SUM($B$59:G59)+SUM($B$61:G64))+SUM($B$81:G81))&lt;0,((SUM($B$59:G59)+SUM($B$61:G64))+SUM($B$81:G81))*0.2-SUM($A$79:F79),IF(SUM($B$79:F79)&lt;0,0-SUM($B$79:F79),0))</f>
        <v>0</v>
      </c>
      <c r="H79" s="240">
        <f>IF(((SUM($B$59:H59)+SUM($B$61:H64))+SUM($B$81:H81))&lt;0,((SUM($B$59:H59)+SUM($B$61:H64))+SUM($B$81:H81))*0.2-SUM($A$79:G79),IF(SUM($B$79:G79)&lt;0,0-SUM($B$79:G79),0))</f>
        <v>0</v>
      </c>
      <c r="I79" s="240">
        <f>IF(((SUM($B$59:I59)+SUM($B$61:I64))+SUM($B$81:I81))&lt;0,((SUM($B$59:I59)+SUM($B$61:I64))+SUM($B$81:I81))*0.2-SUM($A$79:H79),IF(SUM($B$79:H79)&lt;0,0-SUM($B$79:H79),0))</f>
        <v>0</v>
      </c>
      <c r="J79" s="240">
        <f>IF(((SUM($B$59:J59)+SUM($B$61:J64))+SUM($B$81:J81))&lt;0,((SUM($B$59:J59)+SUM($B$61:J64))+SUM($B$81:J81))*0.2-SUM($A$79:I79),IF(SUM($B$79:I79)&lt;0,0-SUM($B$79:I79),0))</f>
        <v>0</v>
      </c>
      <c r="K79" s="240">
        <f>IF(((SUM($B$59:K59)+SUM($B$61:K64))+SUM($B$81:K81))&lt;0,((SUM($B$59:K59)+SUM($B$61:K64))+SUM($B$81:K81))*0.2-SUM($A$79:J79),IF(SUM($B$79:J79)&lt;0,0-SUM($B$79:J79),0))</f>
        <v>0</v>
      </c>
      <c r="L79" s="240">
        <f>IF(((SUM($B$59:L59)+SUM($B$61:L64))+SUM($B$81:L81))&lt;0,((SUM($B$59:L59)+SUM($B$61:L64))+SUM($B$81:L81))*0.2-SUM($A$79:K79),IF(SUM($B$79:K79)&lt;0,0-SUM($B$79:K79),0))</f>
        <v>0</v>
      </c>
      <c r="M79" s="240">
        <f>IF(((SUM($B$59:M59)+SUM($B$61:M64))+SUM($B$81:M81))&lt;0,((SUM($B$59:M59)+SUM($B$61:M64))+SUM($B$81:M81))*0.2-SUM($A$79:L79),IF(SUM($B$79:L79)&lt;0,0-SUM($B$79:L79),0))</f>
        <v>0</v>
      </c>
      <c r="N79" s="240">
        <f>IF(((SUM($B$59:N59)+SUM($B$61:N64))+SUM($B$81:N81))&lt;0,((SUM($B$59:N59)+SUM($B$61:N64))+SUM($B$81:N81))*0.2-SUM($A$79:M79),IF(SUM($B$79:M79)&lt;0,0-SUM($B$79:M79),0))</f>
        <v>0</v>
      </c>
      <c r="O79" s="240">
        <f>IF(((SUM($B$59:O59)+SUM($B$61:O64))+SUM($B$81:O81))&lt;0,((SUM($B$59:O59)+SUM($B$61:O64))+SUM($B$81:O81))*0.2-SUM($A$79:N79),IF(SUM($B$79:N79)&lt;0,0-SUM($B$79:N79),0))</f>
        <v>0</v>
      </c>
      <c r="P79" s="240">
        <f>IF(((SUM($B$59:P59)+SUM($B$61:P64))+SUM($B$81:P81))&lt;0,((SUM($B$59:P59)+SUM($B$61:P64))+SUM($B$81:P81))*0.2-SUM($A$79:O79),IF(SUM($B$79:O79)&lt;0,0-SUM($B$79:O79),0))</f>
        <v>0</v>
      </c>
      <c r="Q79" s="240">
        <f>IF(((SUM($B$59:Q59)+SUM($B$61:Q64))+SUM($B$81:Q81))&lt;0,((SUM($B$59:Q59)+SUM($B$61:Q64))+SUM($B$81:Q81))*0.2-SUM($A$79:P79),IF(SUM($B$79:P79)&lt;0,0-SUM($B$79:P79),0))</f>
        <v>0</v>
      </c>
      <c r="R79" s="240">
        <f>IF(((SUM($B$59:R59)+SUM($B$61:R64))+SUM($B$81:R81))&lt;0,((SUM($B$59:R59)+SUM($B$61:R64))+SUM($B$81:R81))*0.2-SUM($A$79:Q79),IF(SUM($B$79:Q79)&lt;0,0-SUM($B$79:Q79),0))</f>
        <v>0</v>
      </c>
      <c r="S79" s="240">
        <f>IF(((SUM($B$59:S59)+SUM($B$61:S64))+SUM($B$81:S81))&lt;0,((SUM($B$59:S59)+SUM($B$61:S64))+SUM($B$81:S81))*0.2-SUM($A$79:R79),IF(SUM($B$79:R79)&lt;0,0-SUM($B$79:R79),0))</f>
        <v>0</v>
      </c>
      <c r="T79" s="240">
        <f>IF(((SUM($B$59:T59)+SUM($B$61:T64))+SUM($B$81:T81))&lt;0,((SUM($B$59:T59)+SUM($B$61:T64))+SUM($B$81:T81))*0.2-SUM($A$79:S79),IF(SUM($B$79:S79)&lt;0,0-SUM($B$79:S79),0))</f>
        <v>0</v>
      </c>
      <c r="U79" s="240">
        <f>IF(((SUM($B$59:U59)+SUM($B$61:U64))+SUM($B$81:U81))&lt;0,((SUM($B$59:U59)+SUM($B$61:U64))+SUM($B$81:U81))*0.2-SUM($A$79:T79),IF(SUM($B$79:T79)&lt;0,0-SUM($B$79:T79),0))</f>
        <v>0</v>
      </c>
      <c r="V79" s="240">
        <f>IF(((SUM($B$59:V59)+SUM($B$61:V64))+SUM($B$81:V81))&lt;0,((SUM($B$59:V59)+SUM($B$61:V64))+SUM($B$81:V81))*0.2-SUM($A$79:U79),IF(SUM($B$79:U79)&lt;0,0-SUM($B$79:U79),0))</f>
        <v>0</v>
      </c>
      <c r="W79" s="240">
        <f>IF(((SUM($B$59:W59)+SUM($B$61:W64))+SUM($B$81:W81))&lt;0,((SUM($B$59:W59)+SUM($B$61:W64))+SUM($B$81:W81))*0.2-SUM($A$79:V79),IF(SUM($B$79:V79)&lt;0,0-SUM($B$79:V79),0))</f>
        <v>0</v>
      </c>
      <c r="X79" s="240">
        <f>IF(((SUM($B$59:X59)+SUM($B$61:X64))+SUM($B$81:X81))&lt;0,((SUM($B$59:X59)+SUM($B$61:X64))+SUM($B$81:X81))*0.2-SUM($A$79:W79),IF(SUM($B$79:W79)&lt;0,0-SUM($B$79:W79),0))</f>
        <v>0</v>
      </c>
      <c r="Y79" s="240">
        <f>IF(((SUM($B$59:Y59)+SUM($B$61:Y64))+SUM($B$81:Y81))&lt;0,((SUM($B$59:Y59)+SUM($B$61:Y64))+SUM($B$81:Y81))*0.2-SUM($A$79:X79),IF(SUM($B$79:X79)&lt;0,0-SUM($B$79:X79),0))</f>
        <v>0</v>
      </c>
      <c r="Z79" s="240">
        <f>IF(((SUM($B$59:Z59)+SUM($B$61:Z64))+SUM($B$81:Z81))&lt;0,((SUM($B$59:Z59)+SUM($B$61:Z64))+SUM($B$81:Z81))*0.2-SUM($A$79:Y79),IF(SUM($B$79:Y79)&lt;0,0-SUM($B$79:Y79),0))</f>
        <v>0</v>
      </c>
      <c r="AA79" s="240">
        <f>IF(((SUM($B$59:AA59)+SUM($B$61:AA64))+SUM($B$81:AA81))&lt;0,((SUM($B$59:AA59)+SUM($B$61:AA64))+SUM($B$81:AA81))*0.2-SUM($A$79:Z79),IF(SUM($B$79:Z79)&lt;0,0-SUM($B$79:Z79),0))</f>
        <v>0</v>
      </c>
      <c r="AB79" s="240">
        <f>IF(((SUM($B$59:AB59)+SUM($B$61:AB64))+SUM($B$81:AB81))&lt;0,((SUM($B$59:AB59)+SUM($B$61:AB64))+SUM($B$81:AB81))*0.2-SUM($A$79:AA79),IF(SUM($B$79:AA79)&lt;0,0-SUM($B$79:AA79),0))</f>
        <v>0</v>
      </c>
      <c r="AC79" s="240">
        <f>IF(((SUM($B$59:AC59)+SUM($B$61:AC64))+SUM($B$81:AC81))&lt;0,((SUM($B$59:AC59)+SUM($B$61:AC64))+SUM($B$81:AC81))*0.2-SUM($A$79:AB79),IF(SUM($B$79:AB79)&lt;0,0-SUM($B$79:AB79),0))</f>
        <v>0</v>
      </c>
      <c r="AD79" s="240">
        <f>IF(((SUM($B$59:AD59)+SUM($B$61:AD64))+SUM($B$81:AD81))&lt;0,((SUM($B$59:AD59)+SUM($B$61:AD64))+SUM($B$81:AD81))*0.2-SUM($A$79:AC79),IF(SUM($B$79:AC79)&lt;0,0-SUM($B$79:AC79),0))</f>
        <v>0</v>
      </c>
      <c r="AE79" s="240">
        <f>IF(((SUM($B$59:AE59)+SUM($B$61:AE64))+SUM($B$81:AE81))&lt;0,((SUM($B$59:AE59)+SUM($B$61:AE64))+SUM($B$81:AE81))*0.2-SUM($A$79:AD79),IF(SUM($B$79:AD79)&lt;0,0-SUM($B$79:AD79),0))</f>
        <v>0</v>
      </c>
      <c r="AF79" s="240">
        <f>IF(((SUM($B$59:AF59)+SUM($B$61:AF64))+SUM($B$81:AF81))&lt;0,((SUM($B$59:AF59)+SUM($B$61:AF64))+SUM($B$81:AF81))*0.2-SUM($A$79:AE79),IF(SUM($B$79:AE79)&lt;0,0-SUM($B$79:AE79),0))</f>
        <v>0</v>
      </c>
      <c r="AG79" s="240">
        <f>IF(((SUM($B$59:AG59)+SUM($B$61:AG64))+SUM($B$81:AG81))&lt;0,((SUM($B$59:AG59)+SUM($B$61:AG64))+SUM($B$81:AG81))*0.2-SUM($A$79:AF79),IF(SUM($B$79:AF79)&lt;0,0-SUM($B$79:AF79),0))</f>
        <v>0</v>
      </c>
    </row>
    <row r="80" spans="1:33" x14ac:dyDescent="0.2">
      <c r="A80" s="208" t="s">
        <v>302</v>
      </c>
      <c r="B80" s="240">
        <f>-B59*(B39)</f>
        <v>0</v>
      </c>
      <c r="C80" s="240">
        <f t="shared" ref="C80:AG80" si="26">-(C59-B59)*$B$39</f>
        <v>0</v>
      </c>
      <c r="D80" s="240">
        <f t="shared" si="26"/>
        <v>0</v>
      </c>
      <c r="E80" s="240">
        <f t="shared" si="26"/>
        <v>0</v>
      </c>
      <c r="F80" s="240">
        <f t="shared" si="26"/>
        <v>0</v>
      </c>
      <c r="G80" s="240">
        <f t="shared" si="26"/>
        <v>0</v>
      </c>
      <c r="H80" s="240">
        <f t="shared" si="26"/>
        <v>0</v>
      </c>
      <c r="I80" s="240">
        <f t="shared" si="26"/>
        <v>0</v>
      </c>
      <c r="J80" s="240">
        <f t="shared" si="26"/>
        <v>0</v>
      </c>
      <c r="K80" s="240">
        <f t="shared" si="26"/>
        <v>0</v>
      </c>
      <c r="L80" s="240">
        <f t="shared" si="26"/>
        <v>0</v>
      </c>
      <c r="M80" s="240">
        <f t="shared" si="26"/>
        <v>0</v>
      </c>
      <c r="N80" s="240">
        <f t="shared" si="26"/>
        <v>0</v>
      </c>
      <c r="O80" s="240">
        <f t="shared" si="26"/>
        <v>0</v>
      </c>
      <c r="P80" s="240">
        <f t="shared" si="26"/>
        <v>0</v>
      </c>
      <c r="Q80" s="240">
        <f t="shared" si="26"/>
        <v>0</v>
      </c>
      <c r="R80" s="240">
        <f t="shared" si="26"/>
        <v>0</v>
      </c>
      <c r="S80" s="240">
        <f t="shared" si="26"/>
        <v>0</v>
      </c>
      <c r="T80" s="240">
        <f t="shared" si="26"/>
        <v>0</v>
      </c>
      <c r="U80" s="240">
        <f t="shared" si="26"/>
        <v>0</v>
      </c>
      <c r="V80" s="240">
        <f t="shared" si="26"/>
        <v>0</v>
      </c>
      <c r="W80" s="240">
        <f t="shared" si="26"/>
        <v>0</v>
      </c>
      <c r="X80" s="240">
        <f t="shared" si="26"/>
        <v>0</v>
      </c>
      <c r="Y80" s="240">
        <f t="shared" si="26"/>
        <v>0</v>
      </c>
      <c r="Z80" s="240">
        <f t="shared" si="26"/>
        <v>0</v>
      </c>
      <c r="AA80" s="240">
        <f t="shared" si="26"/>
        <v>0</v>
      </c>
      <c r="AB80" s="240">
        <f t="shared" si="26"/>
        <v>0</v>
      </c>
      <c r="AC80" s="240">
        <f t="shared" si="26"/>
        <v>0</v>
      </c>
      <c r="AD80" s="240">
        <f t="shared" si="26"/>
        <v>0</v>
      </c>
      <c r="AE80" s="240">
        <f t="shared" si="26"/>
        <v>0</v>
      </c>
      <c r="AF80" s="240">
        <f t="shared" si="26"/>
        <v>0</v>
      </c>
      <c r="AG80" s="240">
        <f t="shared" si="26"/>
        <v>0</v>
      </c>
    </row>
    <row r="81" spans="1:33" x14ac:dyDescent="0.2">
      <c r="A81" s="208" t="s">
        <v>538</v>
      </c>
      <c r="B81" s="240">
        <f>-$B$119</f>
        <v>-3182169.6199999996</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row>
    <row r="82" spans="1:33" x14ac:dyDescent="0.2">
      <c r="A82" s="208" t="s">
        <v>301</v>
      </c>
      <c r="B82" s="240">
        <f t="shared" ref="B82:AG82" si="27">B54-B55</f>
        <v>0</v>
      </c>
      <c r="C82" s="240">
        <f t="shared" si="27"/>
        <v>0</v>
      </c>
      <c r="D82" s="240">
        <f t="shared" si="27"/>
        <v>0</v>
      </c>
      <c r="E82" s="240">
        <f t="shared" si="27"/>
        <v>0</v>
      </c>
      <c r="F82" s="240">
        <f t="shared" si="27"/>
        <v>0</v>
      </c>
      <c r="G82" s="240">
        <f t="shared" si="27"/>
        <v>0</v>
      </c>
      <c r="H82" s="240">
        <f t="shared" si="27"/>
        <v>0</v>
      </c>
      <c r="I82" s="240">
        <f t="shared" si="27"/>
        <v>0</v>
      </c>
      <c r="J82" s="240">
        <f t="shared" si="27"/>
        <v>0</v>
      </c>
      <c r="K82" s="240">
        <f t="shared" si="27"/>
        <v>0</v>
      </c>
      <c r="L82" s="240">
        <f t="shared" si="27"/>
        <v>0</v>
      </c>
      <c r="M82" s="240">
        <f t="shared" si="27"/>
        <v>0</v>
      </c>
      <c r="N82" s="240">
        <f t="shared" si="27"/>
        <v>0</v>
      </c>
      <c r="O82" s="240">
        <f t="shared" si="27"/>
        <v>0</v>
      </c>
      <c r="P82" s="240">
        <f t="shared" si="27"/>
        <v>0</v>
      </c>
      <c r="Q82" s="240">
        <f t="shared" si="27"/>
        <v>0</v>
      </c>
      <c r="R82" s="240">
        <f t="shared" si="27"/>
        <v>0</v>
      </c>
      <c r="S82" s="240">
        <f t="shared" si="27"/>
        <v>0</v>
      </c>
      <c r="T82" s="240">
        <f t="shared" si="27"/>
        <v>0</v>
      </c>
      <c r="U82" s="240">
        <f t="shared" si="27"/>
        <v>0</v>
      </c>
      <c r="V82" s="240">
        <f t="shared" si="27"/>
        <v>0</v>
      </c>
      <c r="W82" s="240">
        <f t="shared" si="27"/>
        <v>0</v>
      </c>
      <c r="X82" s="240">
        <f t="shared" si="27"/>
        <v>0</v>
      </c>
      <c r="Y82" s="240">
        <f t="shared" si="27"/>
        <v>0</v>
      </c>
      <c r="Z82" s="240">
        <f t="shared" si="27"/>
        <v>0</v>
      </c>
      <c r="AA82" s="240">
        <f t="shared" si="27"/>
        <v>0</v>
      </c>
      <c r="AB82" s="240">
        <f t="shared" si="27"/>
        <v>0</v>
      </c>
      <c r="AC82" s="240">
        <f t="shared" si="27"/>
        <v>0</v>
      </c>
      <c r="AD82" s="240">
        <f t="shared" si="27"/>
        <v>0</v>
      </c>
      <c r="AE82" s="240">
        <f t="shared" si="27"/>
        <v>0</v>
      </c>
      <c r="AF82" s="240">
        <f t="shared" si="27"/>
        <v>0</v>
      </c>
      <c r="AG82" s="240">
        <f t="shared" si="27"/>
        <v>0</v>
      </c>
    </row>
    <row r="83" spans="1:33" ht="14.25" x14ac:dyDescent="0.2">
      <c r="A83" s="209" t="s">
        <v>300</v>
      </c>
      <c r="B83" s="241">
        <f>SUM(B75:B82)</f>
        <v>-3775401.0239999997</v>
      </c>
      <c r="C83" s="241">
        <f t="shared" ref="C83:V83" si="28">SUM(C75:C82)</f>
        <v>0</v>
      </c>
      <c r="D83" s="241">
        <f t="shared" si="28"/>
        <v>4102946.8052900294</v>
      </c>
      <c r="E83" s="241">
        <f t="shared" si="28"/>
        <v>7278433.5381210651</v>
      </c>
      <c r="F83" s="241">
        <f t="shared" si="28"/>
        <v>11522427.260194844</v>
      </c>
      <c r="G83" s="241">
        <f t="shared" si="28"/>
        <v>12088676.490384003</v>
      </c>
      <c r="H83" s="241">
        <f t="shared" si="28"/>
        <v>12655683.61343093</v>
      </c>
      <c r="I83" s="241">
        <f t="shared" si="28"/>
        <v>13249340.071261063</v>
      </c>
      <c r="J83" s="241">
        <f t="shared" si="28"/>
        <v>13870898.382609215</v>
      </c>
      <c r="K83" s="241">
        <f t="shared" si="28"/>
        <v>14521669.934590731</v>
      </c>
      <c r="L83" s="241">
        <f t="shared" si="28"/>
        <v>15203027.74951537</v>
      </c>
      <c r="M83" s="241">
        <f t="shared" si="28"/>
        <v>15916409.381741472</v>
      </c>
      <c r="N83" s="241">
        <f t="shared" si="28"/>
        <v>16663319.9506822</v>
      </c>
      <c r="O83" s="241">
        <f t="shared" si="28"/>
        <v>17445335.316363141</v>
      </c>
      <c r="P83" s="241">
        <f t="shared" si="28"/>
        <v>18264105.404231086</v>
      </c>
      <c r="Q83" s="241">
        <f t="shared" si="28"/>
        <v>19121357.686228827</v>
      </c>
      <c r="R83" s="241">
        <f t="shared" si="28"/>
        <v>20018900.825480465</v>
      </c>
      <c r="S83" s="241">
        <f t="shared" si="28"/>
        <v>20958628.492276926</v>
      </c>
      <c r="T83" s="241">
        <f t="shared" si="28"/>
        <v>21942523.359412819</v>
      </c>
      <c r="U83" s="241">
        <f t="shared" si="28"/>
        <v>22972661.285304099</v>
      </c>
      <c r="V83" s="241">
        <f t="shared" si="28"/>
        <v>24051215.693712272</v>
      </c>
      <c r="W83" s="241">
        <f>SUM(W75:W82)</f>
        <v>25180462.159315623</v>
      </c>
      <c r="X83" s="241">
        <f>SUM(X75:X82)</f>
        <v>26362783.208802342</v>
      </c>
      <c r="Y83" s="241">
        <f>SUM(Y75:Y82)</f>
        <v>27600673.347614929</v>
      </c>
      <c r="Z83" s="241">
        <f>SUM(Z75:Z82)</f>
        <v>28896744.322951704</v>
      </c>
      <c r="AA83" s="241">
        <f t="shared" ref="AA83:AG83" si="29">SUM(AA75:AA82)</f>
        <v>30253730.634129316</v>
      </c>
      <c r="AB83" s="241">
        <f t="shared" si="29"/>
        <v>31674495.301932275</v>
      </c>
      <c r="AC83" s="241">
        <f t="shared" si="29"/>
        <v>33162035.90912196</v>
      </c>
      <c r="AD83" s="241">
        <f t="shared" si="29"/>
        <v>34719490.924849562</v>
      </c>
      <c r="AE83" s="241">
        <f t="shared" si="29"/>
        <v>36350146.326316372</v>
      </c>
      <c r="AF83" s="241">
        <f t="shared" si="29"/>
        <v>38057442.531652123</v>
      </c>
      <c r="AG83" s="241">
        <f t="shared" si="29"/>
        <v>39844981.658638664</v>
      </c>
    </row>
    <row r="84" spans="1:33" ht="14.25" x14ac:dyDescent="0.2">
      <c r="A84" s="209" t="s">
        <v>299</v>
      </c>
      <c r="B84" s="241">
        <f>SUM($B$83:B83)</f>
        <v>-3775401.0239999997</v>
      </c>
      <c r="C84" s="241">
        <f>SUM($B$83:C83)</f>
        <v>-3775401.0239999997</v>
      </c>
      <c r="D84" s="241">
        <f>SUM($B$83:D83)</f>
        <v>327545.78129002964</v>
      </c>
      <c r="E84" s="241">
        <f>SUM($B$83:E83)</f>
        <v>7605979.3194110952</v>
      </c>
      <c r="F84" s="241">
        <f>SUM($B$83:F83)</f>
        <v>19128406.579605937</v>
      </c>
      <c r="G84" s="241">
        <f>SUM($B$83:G83)</f>
        <v>31217083.069989942</v>
      </c>
      <c r="H84" s="241">
        <f>SUM($B$83:H83)</f>
        <v>43872766.683420874</v>
      </c>
      <c r="I84" s="241">
        <f>SUM($B$83:I83)</f>
        <v>57122106.754681937</v>
      </c>
      <c r="J84" s="241">
        <f>SUM($B$83:J83)</f>
        <v>70993005.137291148</v>
      </c>
      <c r="K84" s="241">
        <f>SUM($B$83:K83)</f>
        <v>85514675.071881875</v>
      </c>
      <c r="L84" s="241">
        <f>SUM($B$83:L83)</f>
        <v>100717702.82139724</v>
      </c>
      <c r="M84" s="241">
        <f>SUM($B$83:M83)</f>
        <v>116634112.20313871</v>
      </c>
      <c r="N84" s="241">
        <f>SUM($B$83:N83)</f>
        <v>133297432.1538209</v>
      </c>
      <c r="O84" s="241">
        <f>SUM($B$83:O83)</f>
        <v>150742767.47018403</v>
      </c>
      <c r="P84" s="241">
        <f>SUM($B$83:P83)</f>
        <v>169006872.8744151</v>
      </c>
      <c r="Q84" s="241">
        <f>SUM($B$83:Q83)</f>
        <v>188128230.56064391</v>
      </c>
      <c r="R84" s="241">
        <f>SUM($B$83:R83)</f>
        <v>208147131.38612437</v>
      </c>
      <c r="S84" s="241">
        <f>SUM($B$83:S83)</f>
        <v>229105759.87840131</v>
      </c>
      <c r="T84" s="241">
        <f>SUM($B$83:T83)</f>
        <v>251048283.23781413</v>
      </c>
      <c r="U84" s="241">
        <f>SUM($B$83:U83)</f>
        <v>274020944.52311826</v>
      </c>
      <c r="V84" s="241">
        <f>SUM($B$83:V83)</f>
        <v>298072160.21683055</v>
      </c>
      <c r="W84" s="241">
        <f>SUM($B$83:W83)</f>
        <v>323252622.3761462</v>
      </c>
      <c r="X84" s="241">
        <f>SUM($B$83:X83)</f>
        <v>349615405.58494854</v>
      </c>
      <c r="Y84" s="241">
        <f>SUM($B$83:Y83)</f>
        <v>377216078.93256348</v>
      </c>
      <c r="Z84" s="241">
        <f>SUM($B$83:Z83)</f>
        <v>406112823.25551522</v>
      </c>
      <c r="AA84" s="241">
        <f>SUM($B$83:AA83)</f>
        <v>436366553.8896445</v>
      </c>
      <c r="AB84" s="241">
        <f>SUM($B$83:AB83)</f>
        <v>468041049.19157678</v>
      </c>
      <c r="AC84" s="241">
        <f>SUM($B$83:AC83)</f>
        <v>501203085.10069871</v>
      </c>
      <c r="AD84" s="241">
        <f>SUM($B$83:AD83)</f>
        <v>535922576.02554828</v>
      </c>
      <c r="AE84" s="241">
        <f>SUM($B$83:AE83)</f>
        <v>572272722.3518647</v>
      </c>
      <c r="AF84" s="241">
        <f>SUM($B$83:AF83)</f>
        <v>610330164.88351679</v>
      </c>
      <c r="AG84" s="241">
        <f>SUM($B$83:AG83)</f>
        <v>650175146.5421555</v>
      </c>
    </row>
    <row r="85" spans="1:33" x14ac:dyDescent="0.2">
      <c r="A85" s="208" t="s">
        <v>539</v>
      </c>
      <c r="B85" s="242">
        <f t="shared" ref="B85:AG85" si="30">1/POWER((1+$B$44),B73)</f>
        <v>1</v>
      </c>
      <c r="C85" s="242">
        <f t="shared" si="30"/>
        <v>0.94072086838359736</v>
      </c>
      <c r="D85" s="242">
        <f t="shared" si="30"/>
        <v>0.83249634370229864</v>
      </c>
      <c r="E85" s="242">
        <f t="shared" si="30"/>
        <v>0.73672242805513155</v>
      </c>
      <c r="F85" s="242">
        <f t="shared" si="30"/>
        <v>0.65196675049126696</v>
      </c>
      <c r="G85" s="242">
        <f t="shared" si="30"/>
        <v>0.57696172609846641</v>
      </c>
      <c r="H85" s="242">
        <f t="shared" si="30"/>
        <v>0.51058559831722694</v>
      </c>
      <c r="I85" s="242">
        <f t="shared" si="30"/>
        <v>0.45184566222763445</v>
      </c>
      <c r="J85" s="242">
        <f t="shared" si="30"/>
        <v>0.39986341790056151</v>
      </c>
      <c r="K85" s="242">
        <f t="shared" si="30"/>
        <v>0.35386143177040841</v>
      </c>
      <c r="L85" s="242">
        <f t="shared" si="30"/>
        <v>0.31315170953133498</v>
      </c>
      <c r="M85" s="242">
        <f t="shared" si="30"/>
        <v>0.27712540666489821</v>
      </c>
      <c r="N85" s="242">
        <f t="shared" si="30"/>
        <v>0.24524372271229933</v>
      </c>
      <c r="O85" s="242">
        <f t="shared" si="30"/>
        <v>0.21702984310822954</v>
      </c>
      <c r="P85" s="242">
        <f t="shared" si="30"/>
        <v>0.19206180806038009</v>
      </c>
      <c r="Q85" s="242">
        <f t="shared" si="30"/>
        <v>0.16996620182334526</v>
      </c>
      <c r="R85" s="242">
        <f t="shared" si="30"/>
        <v>0.15041256798526129</v>
      </c>
      <c r="S85" s="242">
        <f t="shared" si="30"/>
        <v>0.13310846724359404</v>
      </c>
      <c r="T85" s="242">
        <f t="shared" si="30"/>
        <v>0.11779510375539298</v>
      </c>
      <c r="U85" s="242">
        <f t="shared" si="30"/>
        <v>0.10424345465079028</v>
      </c>
      <c r="V85" s="242">
        <f t="shared" si="30"/>
        <v>9.2250844823708225E-2</v>
      </c>
      <c r="W85" s="242">
        <f t="shared" si="30"/>
        <v>8.163791577319314E-2</v>
      </c>
      <c r="X85" s="242">
        <f t="shared" si="30"/>
        <v>7.2245943162117798E-2</v>
      </c>
      <c r="Y85" s="242">
        <f t="shared" si="30"/>
        <v>6.3934462975325498E-2</v>
      </c>
      <c r="Z85" s="242">
        <f t="shared" si="30"/>
        <v>5.6579170774624342E-2</v>
      </c>
      <c r="AA85" s="242">
        <f t="shared" si="30"/>
        <v>5.0070062632410935E-2</v>
      </c>
      <c r="AB85" s="242">
        <f t="shared" si="30"/>
        <v>4.4309789940186653E-2</v>
      </c>
      <c r="AC85" s="242">
        <f t="shared" si="30"/>
        <v>3.9212203486890855E-2</v>
      </c>
      <c r="AD85" s="242">
        <f t="shared" si="30"/>
        <v>3.4701065032646777E-2</v>
      </c>
      <c r="AE85" s="242">
        <f t="shared" si="30"/>
        <v>3.0708907108536979E-2</v>
      </c>
      <c r="AF85" s="242">
        <f t="shared" si="30"/>
        <v>2.7176023989855736E-2</v>
      </c>
      <c r="AG85" s="242">
        <f t="shared" si="30"/>
        <v>2.4049578752084716E-2</v>
      </c>
    </row>
    <row r="86" spans="1:33" ht="28.5" x14ac:dyDescent="0.2">
      <c r="A86" s="207" t="s">
        <v>298</v>
      </c>
      <c r="B86" s="241">
        <f>B83*B85</f>
        <v>-3775401.0239999997</v>
      </c>
      <c r="C86" s="241">
        <f>C83*C85</f>
        <v>0</v>
      </c>
      <c r="D86" s="241">
        <f t="shared" ref="D86:AG86" si="31">D83*D85</f>
        <v>3415688.2138089766</v>
      </c>
      <c r="E86" s="241">
        <f t="shared" si="31"/>
        <v>5362185.2286424534</v>
      </c>
      <c r="F86" s="241">
        <f t="shared" si="31"/>
        <v>7512239.4586012242</v>
      </c>
      <c r="G86" s="241">
        <f t="shared" si="31"/>
        <v>6974703.6541379057</v>
      </c>
      <c r="H86" s="241">
        <f t="shared" si="31"/>
        <v>6461809.7898771558</v>
      </c>
      <c r="I86" s="241">
        <f t="shared" si="31"/>
        <v>5986656.8385780882</v>
      </c>
      <c r="J86" s="241">
        <f t="shared" si="31"/>
        <v>5546464.8366214912</v>
      </c>
      <c r="K86" s="241">
        <f t="shared" si="31"/>
        <v>5138658.9147515688</v>
      </c>
      <c r="L86" s="241">
        <f t="shared" si="31"/>
        <v>4760854.129813062</v>
      </c>
      <c r="M86" s="241">
        <f t="shared" si="31"/>
        <v>4410841.422560106</v>
      </c>
      <c r="N86" s="241">
        <f t="shared" si="31"/>
        <v>4086574.6174514308</v>
      </c>
      <c r="O86" s="241">
        <f t="shared" si="31"/>
        <v>3786158.3866807483</v>
      </c>
      <c r="P86" s="241">
        <f t="shared" si="31"/>
        <v>3507837.1065419815</v>
      </c>
      <c r="Q86" s="241">
        <f t="shared" si="31"/>
        <v>3249984.5396339428</v>
      </c>
      <c r="R86" s="241">
        <f t="shared" si="31"/>
        <v>3011094.2814027839</v>
      </c>
      <c r="S86" s="241">
        <f t="shared" si="31"/>
        <v>2789770.9141349001</v>
      </c>
      <c r="T86" s="241">
        <f t="shared" si="31"/>
        <v>2584721.8157771672</v>
      </c>
      <c r="U86" s="241">
        <f t="shared" si="31"/>
        <v>2394749.5749025634</v>
      </c>
      <c r="V86" s="241">
        <f t="shared" si="31"/>
        <v>2218744.9667821866</v>
      </c>
      <c r="W86" s="241">
        <f t="shared" si="31"/>
        <v>2055680.4488922858</v>
      </c>
      <c r="X86" s="241">
        <f t="shared" si="31"/>
        <v>1904604.1372983675</v>
      </c>
      <c r="Y86" s="241">
        <f t="shared" si="31"/>
        <v>1764634.22823714</v>
      </c>
      <c r="Z86" s="241">
        <f t="shared" si="31"/>
        <v>1634953.831878941</v>
      </c>
      <c r="AA86" s="241">
        <f t="shared" si="31"/>
        <v>1514806.1877149441</v>
      </c>
      <c r="AB86" s="241">
        <f t="shared" si="31"/>
        <v>1403490.2332900481</v>
      </c>
      <c r="AC86" s="241">
        <f t="shared" si="31"/>
        <v>1300356.5001080718</v>
      </c>
      <c r="AD86" s="241">
        <f t="shared" si="31"/>
        <v>1204803.3124835943</v>
      </c>
      <c r="AE86" s="241">
        <f t="shared" si="31"/>
        <v>1116273.2669165761</v>
      </c>
      <c r="AF86" s="241">
        <f t="shared" si="31"/>
        <v>1034249.9712327342</v>
      </c>
      <c r="AG86" s="241">
        <f t="shared" si="31"/>
        <v>958255.0242748016</v>
      </c>
    </row>
    <row r="87" spans="1:33" ht="14.25" x14ac:dyDescent="0.2">
      <c r="A87" s="207" t="s">
        <v>297</v>
      </c>
      <c r="B87" s="241">
        <f>SUM($B$86:B86)</f>
        <v>-3775401.0239999997</v>
      </c>
      <c r="C87" s="241">
        <f>SUM($B$86:C86)</f>
        <v>-3775401.0239999997</v>
      </c>
      <c r="D87" s="241">
        <f>SUM($B$86:D86)</f>
        <v>-359712.81019102316</v>
      </c>
      <c r="E87" s="241">
        <f>SUM($B$86:E86)</f>
        <v>5002472.4184514303</v>
      </c>
      <c r="F87" s="241">
        <f>SUM($B$86:F86)</f>
        <v>12514711.877052654</v>
      </c>
      <c r="G87" s="241">
        <f>SUM($B$86:G86)</f>
        <v>19489415.531190559</v>
      </c>
      <c r="H87" s="241">
        <f>SUM($B$86:H86)</f>
        <v>25951225.321067713</v>
      </c>
      <c r="I87" s="241">
        <f>SUM($B$86:I86)</f>
        <v>31937882.159645803</v>
      </c>
      <c r="J87" s="241">
        <f>SUM($B$86:J86)</f>
        <v>37484346.996267296</v>
      </c>
      <c r="K87" s="241">
        <f>SUM($B$86:K86)</f>
        <v>42623005.911018863</v>
      </c>
      <c r="L87" s="241">
        <f>SUM($B$86:L86)</f>
        <v>47383860.040831923</v>
      </c>
      <c r="M87" s="241">
        <f>SUM($B$86:M86)</f>
        <v>51794701.463392027</v>
      </c>
      <c r="N87" s="241">
        <f>SUM($B$86:N86)</f>
        <v>55881276.080843456</v>
      </c>
      <c r="O87" s="241">
        <f>SUM($B$86:O86)</f>
        <v>59667434.467524201</v>
      </c>
      <c r="P87" s="241">
        <f>SUM($B$86:P86)</f>
        <v>63175271.574066184</v>
      </c>
      <c r="Q87" s="241">
        <f>SUM($B$86:Q86)</f>
        <v>66425256.113700129</v>
      </c>
      <c r="R87" s="241">
        <f>SUM($B$86:R86)</f>
        <v>69436350.395102918</v>
      </c>
      <c r="S87" s="241">
        <f>SUM($B$86:S86)</f>
        <v>72226121.309237823</v>
      </c>
      <c r="T87" s="241">
        <f>SUM($B$86:T86)</f>
        <v>74810843.125014991</v>
      </c>
      <c r="U87" s="241">
        <f>SUM($B$86:U86)</f>
        <v>77205592.699917555</v>
      </c>
      <c r="V87" s="241">
        <f>SUM($B$86:V86)</f>
        <v>79424337.666699737</v>
      </c>
      <c r="W87" s="241">
        <f>SUM($B$86:W86)</f>
        <v>81480018.115592018</v>
      </c>
      <c r="X87" s="241">
        <f>SUM($B$86:X86)</f>
        <v>83384622.252890378</v>
      </c>
      <c r="Y87" s="241">
        <f>SUM($B$86:Y86)</f>
        <v>85149256.481127515</v>
      </c>
      <c r="Z87" s="241">
        <f>SUM($B$86:Z86)</f>
        <v>86784210.313006461</v>
      </c>
      <c r="AA87" s="241">
        <f>SUM($B$86:AA86)</f>
        <v>88299016.50072141</v>
      </c>
      <c r="AB87" s="241">
        <f>SUM($B$86:AB86)</f>
        <v>89702506.734011456</v>
      </c>
      <c r="AC87" s="241">
        <f>SUM($B$86:AC86)</f>
        <v>91002863.234119534</v>
      </c>
      <c r="AD87" s="241">
        <f>SUM($B$86:AD86)</f>
        <v>92207666.546603128</v>
      </c>
      <c r="AE87" s="241">
        <f>SUM($B$86:AE86)</f>
        <v>93323939.813519701</v>
      </c>
      <c r="AF87" s="241">
        <f>SUM($B$86:AF86)</f>
        <v>94358189.784752429</v>
      </c>
      <c r="AG87" s="241">
        <f>SUM($B$86:AG86)</f>
        <v>95316444.809027225</v>
      </c>
    </row>
    <row r="88" spans="1:33" ht="14.25" x14ac:dyDescent="0.2">
      <c r="A88" s="207" t="s">
        <v>296</v>
      </c>
      <c r="B88" s="243">
        <f>IF((ISERR(IRR($B$83:B83))),0,IF(IRR($B$83:B83)&lt;0,0,IRR($B$83:B83)))</f>
        <v>0</v>
      </c>
      <c r="C88" s="243">
        <f>IF((ISERR(IRR($B$83:C83))),0,IF(IRR($B$83:C83)&lt;0,0,IRR($B$83:C83)))</f>
        <v>0</v>
      </c>
      <c r="D88" s="243">
        <f>IF((ISERR(IRR($B$83:D83))),0,IF(IRR($B$83:D83)&lt;0,0,IRR($B$83:D83)))</f>
        <v>4.2476799722632297E-2</v>
      </c>
      <c r="E88" s="243">
        <f>IF((ISERR(IRR($B$83:E83))),0,IF(IRR($B$83:E83)&lt;0,0,IRR($B$83:E83)))</f>
        <v>0.53151771058300423</v>
      </c>
      <c r="F88" s="243">
        <f>IF((ISERR(IRR($B$83:F83))),0,IF(IRR($B$83:F83)&lt;0,0,IRR($B$83:F83)))</f>
        <v>0.77327518447297527</v>
      </c>
      <c r="G88" s="243">
        <f>IF((ISERR(IRR($B$83:G83))),0,IF(IRR($B$83:G83)&lt;0,0,IRR($B$83:G83)))</f>
        <v>0.86720909233866927</v>
      </c>
      <c r="H88" s="243">
        <f>IF((ISERR(IRR($B$83:H83))),0,IF(IRR($B$83:H83)&lt;0,0,IRR($B$83:H83)))</f>
        <v>0.90938360573686605</v>
      </c>
      <c r="I88" s="243">
        <f>IF((ISERR(IRR($B$83:I83))),0,IF(IRR($B$83:I83)&lt;0,0,IRR($B$83:I83)))</f>
        <v>0.92972412192004139</v>
      </c>
      <c r="J88" s="243">
        <f>IF((ISERR(IRR($B$83:J83))),0,IF(IRR($B$83:J83)&lt;0,0,IRR($B$83:J83)))</f>
        <v>0.93994822071571371</v>
      </c>
      <c r="K88" s="243">
        <f>IF((ISERR(IRR($B$83:K83))),0,IF(IRR($B$83:K83)&lt;0,0,IRR($B$83:K83)))</f>
        <v>0.94521822963260016</v>
      </c>
      <c r="L88" s="243">
        <f>IF((ISERR(IRR($B$83:L83))),0,IF(IRR($B$83:L83)&lt;0,0,IRR($B$83:L83)))</f>
        <v>0.94797724672774075</v>
      </c>
      <c r="M88" s="243">
        <f>IF((ISERR(IRR($B$83:M83))),0,IF(IRR($B$83:M83)&lt;0,0,IRR($B$83:M83)))</f>
        <v>0.94943567136083495</v>
      </c>
      <c r="N88" s="243">
        <f>IF((ISERR(IRR($B$83:N83))),0,IF(IRR($B$83:N83)&lt;0,0,IRR($B$83:N83)))</f>
        <v>0.95021119405558707</v>
      </c>
      <c r="O88" s="243">
        <f>IF((ISERR(IRR($B$83:O83))),0,IF(IRR($B$83:O83)&lt;0,0,IRR($B$83:O83)))</f>
        <v>0.95062508249317568</v>
      </c>
      <c r="P88" s="243">
        <f>IF((ISERR(IRR($B$83:P83))),0,IF(IRR($B$83:P83)&lt;0,0,IRR($B$83:P83)))</f>
        <v>0.95084645742530838</v>
      </c>
      <c r="Q88" s="243">
        <f>IF((ISERR(IRR($B$83:Q83))),0,IF(IRR($B$83:Q83)&lt;0,0,IRR($B$83:Q83)))</f>
        <v>0.95096502007247086</v>
      </c>
      <c r="R88" s="243">
        <f>IF((ISERR(IRR($B$83:R83))),0,IF(IRR($B$83:R83)&lt;0,0,IRR($B$83:R83)))</f>
        <v>0.95102856916204948</v>
      </c>
      <c r="S88" s="243">
        <f>IF((ISERR(IRR($B$83:S83))),0,IF(IRR($B$83:S83)&lt;0,0,IRR($B$83:S83)))</f>
        <v>0.95106264707312316</v>
      </c>
      <c r="T88" s="243">
        <f>IF((ISERR(IRR($B$83:T83))),0,IF(IRR($B$83:T83)&lt;0,0,IRR($B$83:T83)))</f>
        <v>0.95108092619899898</v>
      </c>
      <c r="U88" s="243">
        <f>IF((ISERR(IRR($B$83:U83))),0,IF(IRR($B$83:U83)&lt;0,0,IRR($B$83:U83)))</f>
        <v>0.95109073254979926</v>
      </c>
      <c r="V88" s="243">
        <f>IF((ISERR(IRR($B$83:V83))),0,IF(IRR($B$83:V83)&lt;0,0,IRR($B$83:V83)))</f>
        <v>0.95109599393436861</v>
      </c>
      <c r="W88" s="243">
        <f>IF((ISERR(IRR($B$83:W83))),0,IF(IRR($B$83:W83)&lt;0,0,IRR($B$83:W83)))</f>
        <v>0.95109881697041532</v>
      </c>
      <c r="X88" s="243">
        <f>IF((ISERR(IRR($B$83:X83))),0,IF(IRR($B$83:X83)&lt;0,0,IRR($B$83:X83)))</f>
        <v>0.95110033174068453</v>
      </c>
      <c r="Y88" s="243">
        <f>IF((ISERR(IRR($B$83:Y83))),0,IF(IRR($B$83:Y83)&lt;0,0,IRR($B$83:Y83)))</f>
        <v>0.951101144543951</v>
      </c>
      <c r="Z88" s="243">
        <f>IF((ISERR(IRR($B$83:Z83))),0,IF(IRR($B$83:Z83)&lt;0,0,IRR($B$83:Z83)))</f>
        <v>0.95110158068721717</v>
      </c>
      <c r="AA88" s="243">
        <f>IF((ISERR(IRR($B$83:AA83))),0,IF(IRR($B$83:AA83)&lt;0,0,IRR($B$83:AA83)))</f>
        <v>0.95110181471967326</v>
      </c>
      <c r="AB88" s="243">
        <f>IF((ISERR(IRR($B$83:AB83))),0,IF(IRR($B$83:AB83)&lt;0,0,IRR($B$83:AB83)))</f>
        <v>0.9511019403010148</v>
      </c>
      <c r="AC88" s="243">
        <f>IF((ISERR(IRR($B$83:AC83))),0,IF(IRR($B$83:AC83)&lt;0,0,IRR($B$83:AC83)))</f>
        <v>0.95110200768793751</v>
      </c>
      <c r="AD88" s="243">
        <f>IF((ISERR(IRR($B$83:AD83))),0,IF(IRR($B$83:AD83)&lt;0,0,IRR($B$83:AD83)))</f>
        <v>0.95110204384783992</v>
      </c>
      <c r="AE88" s="243">
        <f>IF((ISERR(IRR($B$83:AE83))),0,IF(IRR($B$83:AE83)&lt;0,0,IRR($B$83:AE83)))</f>
        <v>0.95110206325132562</v>
      </c>
      <c r="AF88" s="243">
        <f>IF((ISERR(IRR($B$83:AF83))),0,IF(IRR($B$83:AF83)&lt;0,0,IRR($B$83:AF83)))</f>
        <v>0.95110207366329824</v>
      </c>
      <c r="AG88" s="243">
        <f>IF((ISERR(IRR($B$83:AG83))),0,IF(IRR($B$83:AG83)&lt;0,0,IRR($B$83:AG83)))</f>
        <v>0.95110207925040569</v>
      </c>
    </row>
    <row r="89" spans="1:33" ht="14.25" x14ac:dyDescent="0.2">
      <c r="A89" s="207" t="s">
        <v>295</v>
      </c>
      <c r="B89" s="244">
        <f>IF(AND(B84&gt;0,A84&lt;0),(B74-(B84/(B84-A84))),0)</f>
        <v>0</v>
      </c>
      <c r="C89" s="244">
        <f t="shared" ref="C89:AG89" si="32">IF(AND(C84&gt;0,B84&lt;0),(C74-(C84/(C84-B84))),0)</f>
        <v>0</v>
      </c>
      <c r="D89" s="244">
        <f t="shared" si="32"/>
        <v>2.9201681628268452</v>
      </c>
      <c r="E89" s="244">
        <f t="shared" si="32"/>
        <v>0</v>
      </c>
      <c r="F89" s="244">
        <f t="shared" si="32"/>
        <v>0</v>
      </c>
      <c r="G89" s="244">
        <f t="shared" si="32"/>
        <v>0</v>
      </c>
      <c r="H89" s="244">
        <f>IF(AND(H84&gt;0,G84&lt;0),(H74-(H84/(H84-G84))),0)</f>
        <v>0</v>
      </c>
      <c r="I89" s="244">
        <f t="shared" si="32"/>
        <v>0</v>
      </c>
      <c r="J89" s="244">
        <f t="shared" si="32"/>
        <v>0</v>
      </c>
      <c r="K89" s="244">
        <f t="shared" si="32"/>
        <v>0</v>
      </c>
      <c r="L89" s="244">
        <f t="shared" si="32"/>
        <v>0</v>
      </c>
      <c r="M89" s="244">
        <f t="shared" si="32"/>
        <v>0</v>
      </c>
      <c r="N89" s="244">
        <f t="shared" si="32"/>
        <v>0</v>
      </c>
      <c r="O89" s="244">
        <f t="shared" si="32"/>
        <v>0</v>
      </c>
      <c r="P89" s="244">
        <f t="shared" si="32"/>
        <v>0</v>
      </c>
      <c r="Q89" s="244">
        <f t="shared" si="32"/>
        <v>0</v>
      </c>
      <c r="R89" s="244">
        <f t="shared" si="32"/>
        <v>0</v>
      </c>
      <c r="S89" s="244">
        <f t="shared" si="32"/>
        <v>0</v>
      </c>
      <c r="T89" s="244">
        <f t="shared" si="32"/>
        <v>0</v>
      </c>
      <c r="U89" s="244">
        <f t="shared" si="32"/>
        <v>0</v>
      </c>
      <c r="V89" s="244">
        <f t="shared" si="32"/>
        <v>0</v>
      </c>
      <c r="W89" s="244">
        <f t="shared" si="32"/>
        <v>0</v>
      </c>
      <c r="X89" s="244">
        <f t="shared" si="32"/>
        <v>0</v>
      </c>
      <c r="Y89" s="244">
        <f t="shared" si="32"/>
        <v>0</v>
      </c>
      <c r="Z89" s="244">
        <f t="shared" si="32"/>
        <v>0</v>
      </c>
      <c r="AA89" s="244">
        <f t="shared" si="32"/>
        <v>0</v>
      </c>
      <c r="AB89" s="244">
        <f t="shared" si="32"/>
        <v>0</v>
      </c>
      <c r="AC89" s="244">
        <f t="shared" si="32"/>
        <v>0</v>
      </c>
      <c r="AD89" s="244">
        <f t="shared" si="32"/>
        <v>0</v>
      </c>
      <c r="AE89" s="244">
        <f t="shared" si="32"/>
        <v>0</v>
      </c>
      <c r="AF89" s="244">
        <f t="shared" si="32"/>
        <v>0</v>
      </c>
      <c r="AG89" s="244">
        <f t="shared" si="32"/>
        <v>0</v>
      </c>
    </row>
    <row r="90" spans="1:33" ht="15" thickBot="1" x14ac:dyDescent="0.25">
      <c r="A90" s="215" t="s">
        <v>294</v>
      </c>
      <c r="B90" s="216">
        <f t="shared" ref="B90:AG90" si="33">IF(AND(B87&gt;0,A87&lt;0),(B74-(B87/(B87-A87))),0)</f>
        <v>0</v>
      </c>
      <c r="C90" s="216">
        <f t="shared" si="33"/>
        <v>0</v>
      </c>
      <c r="D90" s="216">
        <f t="shared" si="33"/>
        <v>0</v>
      </c>
      <c r="E90" s="216">
        <f t="shared" si="33"/>
        <v>3.0670832496180092</v>
      </c>
      <c r="F90" s="216">
        <f t="shared" si="33"/>
        <v>0</v>
      </c>
      <c r="G90" s="216">
        <f t="shared" si="33"/>
        <v>0</v>
      </c>
      <c r="H90" s="216">
        <f t="shared" si="33"/>
        <v>0</v>
      </c>
      <c r="I90" s="216">
        <f t="shared" si="33"/>
        <v>0</v>
      </c>
      <c r="J90" s="216">
        <f t="shared" si="33"/>
        <v>0</v>
      </c>
      <c r="K90" s="216">
        <f t="shared" si="33"/>
        <v>0</v>
      </c>
      <c r="L90" s="216">
        <f t="shared" si="33"/>
        <v>0</v>
      </c>
      <c r="M90" s="216">
        <f t="shared" si="33"/>
        <v>0</v>
      </c>
      <c r="N90" s="216">
        <f t="shared" si="33"/>
        <v>0</v>
      </c>
      <c r="O90" s="216">
        <f t="shared" si="33"/>
        <v>0</v>
      </c>
      <c r="P90" s="216">
        <f t="shared" si="33"/>
        <v>0</v>
      </c>
      <c r="Q90" s="216">
        <f t="shared" si="33"/>
        <v>0</v>
      </c>
      <c r="R90" s="216">
        <f t="shared" si="33"/>
        <v>0</v>
      </c>
      <c r="S90" s="216">
        <f t="shared" si="33"/>
        <v>0</v>
      </c>
      <c r="T90" s="216">
        <f t="shared" si="33"/>
        <v>0</v>
      </c>
      <c r="U90" s="216">
        <f t="shared" si="33"/>
        <v>0</v>
      </c>
      <c r="V90" s="216">
        <f t="shared" si="33"/>
        <v>0</v>
      </c>
      <c r="W90" s="216">
        <f t="shared" si="33"/>
        <v>0</v>
      </c>
      <c r="X90" s="216">
        <f t="shared" si="33"/>
        <v>0</v>
      </c>
      <c r="Y90" s="216">
        <f t="shared" si="33"/>
        <v>0</v>
      </c>
      <c r="Z90" s="216">
        <f t="shared" si="33"/>
        <v>0</v>
      </c>
      <c r="AA90" s="216">
        <f t="shared" si="33"/>
        <v>0</v>
      </c>
      <c r="AB90" s="216">
        <f t="shared" si="33"/>
        <v>0</v>
      </c>
      <c r="AC90" s="216">
        <f t="shared" si="33"/>
        <v>0</v>
      </c>
      <c r="AD90" s="216">
        <f t="shared" si="33"/>
        <v>0</v>
      </c>
      <c r="AE90" s="216">
        <f t="shared" si="33"/>
        <v>0</v>
      </c>
      <c r="AF90" s="216">
        <f t="shared" si="33"/>
        <v>0</v>
      </c>
      <c r="AG90" s="216">
        <f t="shared" si="33"/>
        <v>0</v>
      </c>
    </row>
    <row r="91" spans="1:33" s="195" customFormat="1" x14ac:dyDescent="0.2">
      <c r="A91" s="169"/>
      <c r="B91" s="217">
        <v>2020</v>
      </c>
      <c r="C91" s="217">
        <f>B91+1</f>
        <v>2021</v>
      </c>
      <c r="D91" s="164">
        <f t="shared" ref="D91:AG91" si="34">C91+1</f>
        <v>2022</v>
      </c>
      <c r="E91" s="164">
        <f t="shared" si="34"/>
        <v>2023</v>
      </c>
      <c r="F91" s="164">
        <f t="shared" si="34"/>
        <v>2024</v>
      </c>
      <c r="G91" s="164">
        <f t="shared" si="34"/>
        <v>2025</v>
      </c>
      <c r="H91" s="164">
        <f t="shared" si="34"/>
        <v>2026</v>
      </c>
      <c r="I91" s="164">
        <f t="shared" si="34"/>
        <v>2027</v>
      </c>
      <c r="J91" s="164">
        <f t="shared" si="34"/>
        <v>2028</v>
      </c>
      <c r="K91" s="164">
        <f t="shared" si="34"/>
        <v>2029</v>
      </c>
      <c r="L91" s="164">
        <f t="shared" si="34"/>
        <v>2030</v>
      </c>
      <c r="M91" s="164">
        <f t="shared" si="34"/>
        <v>2031</v>
      </c>
      <c r="N91" s="164">
        <f t="shared" si="34"/>
        <v>2032</v>
      </c>
      <c r="O91" s="164">
        <f t="shared" si="34"/>
        <v>2033</v>
      </c>
      <c r="P91" s="164">
        <f t="shared" si="34"/>
        <v>2034</v>
      </c>
      <c r="Q91" s="164">
        <f t="shared" si="34"/>
        <v>2035</v>
      </c>
      <c r="R91" s="164">
        <f t="shared" si="34"/>
        <v>2036</v>
      </c>
      <c r="S91" s="164">
        <f t="shared" si="34"/>
        <v>2037</v>
      </c>
      <c r="T91" s="164">
        <f t="shared" si="34"/>
        <v>2038</v>
      </c>
      <c r="U91" s="164">
        <f t="shared" si="34"/>
        <v>2039</v>
      </c>
      <c r="V91" s="164">
        <f t="shared" si="34"/>
        <v>2040</v>
      </c>
      <c r="W91" s="164">
        <f t="shared" si="34"/>
        <v>2041</v>
      </c>
      <c r="X91" s="164">
        <f t="shared" si="34"/>
        <v>2042</v>
      </c>
      <c r="Y91" s="164">
        <f t="shared" si="34"/>
        <v>2043</v>
      </c>
      <c r="Z91" s="164">
        <f t="shared" si="34"/>
        <v>2044</v>
      </c>
      <c r="AA91" s="164">
        <f t="shared" si="34"/>
        <v>2045</v>
      </c>
      <c r="AB91" s="164">
        <f t="shared" si="34"/>
        <v>2046</v>
      </c>
      <c r="AC91" s="164">
        <f t="shared" si="34"/>
        <v>2047</v>
      </c>
      <c r="AD91" s="164">
        <f t="shared" si="34"/>
        <v>2048</v>
      </c>
      <c r="AE91" s="164">
        <f t="shared" si="34"/>
        <v>2049</v>
      </c>
      <c r="AF91" s="164">
        <f t="shared" si="34"/>
        <v>2050</v>
      </c>
      <c r="AG91" s="164">
        <f t="shared" si="34"/>
        <v>2051</v>
      </c>
    </row>
    <row r="92" spans="1:33" ht="15.6" customHeight="1" x14ac:dyDescent="0.2">
      <c r="A92" s="218" t="s">
        <v>293</v>
      </c>
      <c r="B92" s="112"/>
      <c r="C92" s="112"/>
      <c r="D92" s="112"/>
      <c r="E92" s="112"/>
      <c r="F92" s="112"/>
      <c r="G92" s="112"/>
      <c r="H92" s="112"/>
      <c r="I92" s="112"/>
      <c r="J92" s="112"/>
      <c r="K92" s="112"/>
      <c r="L92" s="219">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row>
    <row r="93" spans="1:33" ht="12.75" x14ac:dyDescent="0.2">
      <c r="A93" s="113" t="s">
        <v>292</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row>
    <row r="94" spans="1:33" ht="12.75" x14ac:dyDescent="0.2">
      <c r="A94" s="113" t="s">
        <v>291</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row>
    <row r="95" spans="1:33" ht="12.75" x14ac:dyDescent="0.2">
      <c r="A95" s="113" t="s">
        <v>290</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row>
    <row r="96" spans="1:33" ht="12.75" x14ac:dyDescent="0.2">
      <c r="A96" s="114" t="s">
        <v>289</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row>
    <row r="97" spans="1:48" ht="33" customHeight="1" x14ac:dyDescent="0.2">
      <c r="A97" s="462" t="s">
        <v>540</v>
      </c>
      <c r="B97" s="462"/>
      <c r="C97" s="462"/>
      <c r="D97" s="462"/>
      <c r="E97" s="462"/>
      <c r="F97" s="462"/>
      <c r="G97" s="462"/>
      <c r="H97" s="462"/>
      <c r="I97" s="462"/>
      <c r="J97" s="462"/>
      <c r="K97" s="462"/>
      <c r="L97" s="462"/>
      <c r="M97" s="210"/>
      <c r="N97" s="210"/>
      <c r="O97" s="210"/>
      <c r="P97" s="210"/>
      <c r="Q97" s="210"/>
      <c r="R97" s="210"/>
      <c r="S97" s="210"/>
      <c r="T97" s="210"/>
      <c r="U97" s="210"/>
      <c r="V97" s="210"/>
      <c r="W97" s="210"/>
      <c r="X97" s="210"/>
      <c r="Y97" s="210"/>
      <c r="Z97" s="210"/>
      <c r="AA97" s="210"/>
      <c r="AB97" s="210"/>
      <c r="AC97" s="210"/>
      <c r="AD97" s="210"/>
      <c r="AE97" s="210"/>
      <c r="AF97" s="210"/>
      <c r="AG97" s="210"/>
    </row>
    <row r="98" spans="1:48" x14ac:dyDescent="0.2">
      <c r="C98" s="220"/>
    </row>
    <row r="99" spans="1:48" ht="12.75" x14ac:dyDescent="0.2">
      <c r="A99" s="224"/>
      <c r="B99" s="222"/>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c r="AC99" s="222"/>
      <c r="AD99" s="222"/>
      <c r="AE99" s="222"/>
      <c r="AF99" s="222"/>
      <c r="AG99" s="222"/>
      <c r="AH99" s="222"/>
      <c r="AI99" s="222"/>
      <c r="AJ99" s="222"/>
      <c r="AK99" s="222"/>
      <c r="AL99" s="222"/>
      <c r="AM99" s="222"/>
      <c r="AN99" s="222"/>
      <c r="AO99" s="222"/>
      <c r="AP99" s="222"/>
      <c r="AQ99" s="222"/>
      <c r="AR99" s="222"/>
      <c r="AS99" s="222"/>
      <c r="AT99" s="222"/>
      <c r="AU99" s="222"/>
      <c r="AV99" s="222"/>
    </row>
    <row r="100" spans="1:48" ht="12.75" hidden="1" x14ac:dyDescent="0.2">
      <c r="A100" s="245"/>
      <c r="B100" s="246">
        <v>2020</v>
      </c>
      <c r="C100" s="246">
        <v>2021</v>
      </c>
      <c r="D100" s="247">
        <f t="shared" ref="D100:AG100" si="35">C100+1</f>
        <v>2022</v>
      </c>
      <c r="E100" s="247">
        <f t="shared" si="35"/>
        <v>2023</v>
      </c>
      <c r="F100" s="247">
        <f t="shared" si="35"/>
        <v>2024</v>
      </c>
      <c r="G100" s="247">
        <f t="shared" si="35"/>
        <v>2025</v>
      </c>
      <c r="H100" s="247">
        <f t="shared" si="35"/>
        <v>2026</v>
      </c>
      <c r="I100" s="247">
        <f t="shared" si="35"/>
        <v>2027</v>
      </c>
      <c r="J100" s="247">
        <f t="shared" si="35"/>
        <v>2028</v>
      </c>
      <c r="K100" s="247">
        <f t="shared" si="35"/>
        <v>2029</v>
      </c>
      <c r="L100" s="247">
        <f t="shared" si="35"/>
        <v>2030</v>
      </c>
      <c r="M100" s="247">
        <f t="shared" si="35"/>
        <v>2031</v>
      </c>
      <c r="N100" s="247">
        <f t="shared" si="35"/>
        <v>2032</v>
      </c>
      <c r="O100" s="247">
        <f t="shared" si="35"/>
        <v>2033</v>
      </c>
      <c r="P100" s="247">
        <f t="shared" si="35"/>
        <v>2034</v>
      </c>
      <c r="Q100" s="247">
        <f t="shared" si="35"/>
        <v>2035</v>
      </c>
      <c r="R100" s="247">
        <f t="shared" si="35"/>
        <v>2036</v>
      </c>
      <c r="S100" s="247">
        <f t="shared" si="35"/>
        <v>2037</v>
      </c>
      <c r="T100" s="247">
        <f t="shared" si="35"/>
        <v>2038</v>
      </c>
      <c r="U100" s="247">
        <f t="shared" si="35"/>
        <v>2039</v>
      </c>
      <c r="V100" s="247">
        <f t="shared" si="35"/>
        <v>2040</v>
      </c>
      <c r="W100" s="247">
        <f t="shared" si="35"/>
        <v>2041</v>
      </c>
      <c r="X100" s="247">
        <f t="shared" si="35"/>
        <v>2042</v>
      </c>
      <c r="Y100" s="247">
        <f t="shared" si="35"/>
        <v>2043</v>
      </c>
      <c r="Z100" s="247">
        <f t="shared" si="35"/>
        <v>2044</v>
      </c>
      <c r="AA100" s="247">
        <f t="shared" si="35"/>
        <v>2045</v>
      </c>
      <c r="AB100" s="247">
        <f t="shared" si="35"/>
        <v>2046</v>
      </c>
      <c r="AC100" s="247">
        <f t="shared" si="35"/>
        <v>2047</v>
      </c>
      <c r="AD100" s="247">
        <f t="shared" si="35"/>
        <v>2048</v>
      </c>
      <c r="AE100" s="247">
        <f t="shared" si="35"/>
        <v>2049</v>
      </c>
      <c r="AF100" s="247">
        <f t="shared" si="35"/>
        <v>2050</v>
      </c>
      <c r="AG100" s="247">
        <f t="shared" si="35"/>
        <v>2051</v>
      </c>
      <c r="AH100" s="221"/>
      <c r="AI100" s="221"/>
      <c r="AJ100" s="221"/>
    </row>
    <row r="101" spans="1:48" ht="12.75" hidden="1" x14ac:dyDescent="0.2">
      <c r="A101" s="248" t="s">
        <v>541</v>
      </c>
      <c r="B101" s="249"/>
      <c r="C101" s="249">
        <f>C102*$B$104*$B$105*1000</f>
        <v>0</v>
      </c>
      <c r="D101" s="249">
        <f t="shared" ref="D101:AG101" si="36">D102*$B$104*$B$105*1000</f>
        <v>3946689.5608800002</v>
      </c>
      <c r="E101" s="249">
        <f>E102*$B$104*$B$105*1000</f>
        <v>7893379.1217600005</v>
      </c>
      <c r="F101" s="249">
        <f>F102*$B$104*$B$105*1000</f>
        <v>11959665.335999999</v>
      </c>
      <c r="G101" s="249">
        <f t="shared" si="36"/>
        <v>11959665.335999999</v>
      </c>
      <c r="H101" s="249">
        <f t="shared" si="36"/>
        <v>11959665.335999999</v>
      </c>
      <c r="I101" s="249">
        <f t="shared" si="36"/>
        <v>11959665.335999999</v>
      </c>
      <c r="J101" s="249">
        <f t="shared" si="36"/>
        <v>11959665.335999999</v>
      </c>
      <c r="K101" s="249">
        <f t="shared" si="36"/>
        <v>11959665.335999999</v>
      </c>
      <c r="L101" s="249">
        <f t="shared" si="36"/>
        <v>11959665.335999999</v>
      </c>
      <c r="M101" s="249">
        <f t="shared" si="36"/>
        <v>11959665.335999999</v>
      </c>
      <c r="N101" s="249">
        <f t="shared" si="36"/>
        <v>11959665.335999999</v>
      </c>
      <c r="O101" s="249">
        <f t="shared" si="36"/>
        <v>11959665.335999999</v>
      </c>
      <c r="P101" s="249">
        <f t="shared" si="36"/>
        <v>11959665.335999999</v>
      </c>
      <c r="Q101" s="249">
        <f t="shared" si="36"/>
        <v>11959665.335999999</v>
      </c>
      <c r="R101" s="249">
        <f t="shared" si="36"/>
        <v>11959665.335999999</v>
      </c>
      <c r="S101" s="249">
        <f t="shared" si="36"/>
        <v>11959665.335999999</v>
      </c>
      <c r="T101" s="249">
        <f t="shared" si="36"/>
        <v>11959665.335999999</v>
      </c>
      <c r="U101" s="249">
        <f t="shared" si="36"/>
        <v>11959665.335999999</v>
      </c>
      <c r="V101" s="249">
        <f t="shared" si="36"/>
        <v>11959665.335999999</v>
      </c>
      <c r="W101" s="249">
        <f t="shared" si="36"/>
        <v>11959665.335999999</v>
      </c>
      <c r="X101" s="249">
        <f t="shared" si="36"/>
        <v>11959665.335999999</v>
      </c>
      <c r="Y101" s="249">
        <f t="shared" si="36"/>
        <v>11959665.335999999</v>
      </c>
      <c r="Z101" s="249">
        <f t="shared" si="36"/>
        <v>11959665.335999999</v>
      </c>
      <c r="AA101" s="249">
        <f t="shared" si="36"/>
        <v>11959665.335999999</v>
      </c>
      <c r="AB101" s="249">
        <f t="shared" si="36"/>
        <v>11959665.335999999</v>
      </c>
      <c r="AC101" s="249">
        <f t="shared" si="36"/>
        <v>11959665.335999999</v>
      </c>
      <c r="AD101" s="249">
        <f t="shared" si="36"/>
        <v>11959665.335999999</v>
      </c>
      <c r="AE101" s="249">
        <f t="shared" si="36"/>
        <v>11959665.335999999</v>
      </c>
      <c r="AF101" s="249">
        <f t="shared" si="36"/>
        <v>11959665.335999999</v>
      </c>
      <c r="AG101" s="249">
        <f t="shared" si="36"/>
        <v>11959665.335999999</v>
      </c>
      <c r="AH101" s="221"/>
      <c r="AI101" s="221"/>
      <c r="AJ101" s="221"/>
    </row>
    <row r="102" spans="1:48" ht="12.75" hidden="1" x14ac:dyDescent="0.2">
      <c r="A102" s="248" t="s">
        <v>542</v>
      </c>
      <c r="B102" s="247"/>
      <c r="C102" s="247">
        <f>B102+$I$113*C106</f>
        <v>0</v>
      </c>
      <c r="D102" s="247">
        <f>C102+$I$113*D106</f>
        <v>0.46035000000000004</v>
      </c>
      <c r="E102" s="247">
        <f t="shared" ref="E102:AG102" si="37">D102+$I$113*E106</f>
        <v>0.92070000000000007</v>
      </c>
      <c r="F102" s="247">
        <f t="shared" si="37"/>
        <v>1.395</v>
      </c>
      <c r="G102" s="247">
        <f t="shared" si="37"/>
        <v>1.395</v>
      </c>
      <c r="H102" s="247">
        <f t="shared" si="37"/>
        <v>1.395</v>
      </c>
      <c r="I102" s="247">
        <f t="shared" si="37"/>
        <v>1.395</v>
      </c>
      <c r="J102" s="247">
        <f t="shared" si="37"/>
        <v>1.395</v>
      </c>
      <c r="K102" s="247">
        <f t="shared" si="37"/>
        <v>1.395</v>
      </c>
      <c r="L102" s="247">
        <f t="shared" si="37"/>
        <v>1.395</v>
      </c>
      <c r="M102" s="247">
        <f t="shared" si="37"/>
        <v>1.395</v>
      </c>
      <c r="N102" s="247">
        <f t="shared" si="37"/>
        <v>1.395</v>
      </c>
      <c r="O102" s="247">
        <f t="shared" si="37"/>
        <v>1.395</v>
      </c>
      <c r="P102" s="247">
        <f t="shared" si="37"/>
        <v>1.395</v>
      </c>
      <c r="Q102" s="247">
        <f t="shared" si="37"/>
        <v>1.395</v>
      </c>
      <c r="R102" s="247">
        <f t="shared" si="37"/>
        <v>1.395</v>
      </c>
      <c r="S102" s="247">
        <f t="shared" si="37"/>
        <v>1.395</v>
      </c>
      <c r="T102" s="247">
        <f t="shared" si="37"/>
        <v>1.395</v>
      </c>
      <c r="U102" s="247">
        <f t="shared" si="37"/>
        <v>1.395</v>
      </c>
      <c r="V102" s="247">
        <f t="shared" si="37"/>
        <v>1.395</v>
      </c>
      <c r="W102" s="247">
        <f t="shared" si="37"/>
        <v>1.395</v>
      </c>
      <c r="X102" s="247">
        <f t="shared" si="37"/>
        <v>1.395</v>
      </c>
      <c r="Y102" s="247">
        <f t="shared" si="37"/>
        <v>1.395</v>
      </c>
      <c r="Z102" s="247">
        <f t="shared" si="37"/>
        <v>1.395</v>
      </c>
      <c r="AA102" s="247">
        <f t="shared" si="37"/>
        <v>1.395</v>
      </c>
      <c r="AB102" s="247">
        <f t="shared" si="37"/>
        <v>1.395</v>
      </c>
      <c r="AC102" s="247">
        <f t="shared" si="37"/>
        <v>1.395</v>
      </c>
      <c r="AD102" s="247">
        <f t="shared" si="37"/>
        <v>1.395</v>
      </c>
      <c r="AE102" s="247">
        <f t="shared" si="37"/>
        <v>1.395</v>
      </c>
      <c r="AF102" s="247">
        <f t="shared" si="37"/>
        <v>1.395</v>
      </c>
      <c r="AG102" s="247">
        <f t="shared" si="37"/>
        <v>1.395</v>
      </c>
      <c r="AH102" s="221"/>
      <c r="AI102" s="221"/>
      <c r="AJ102" s="221"/>
    </row>
    <row r="103" spans="1:48" ht="12.75" hidden="1" x14ac:dyDescent="0.2">
      <c r="A103" s="248" t="s">
        <v>543</v>
      </c>
      <c r="B103" s="250">
        <v>0.93</v>
      </c>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21"/>
      <c r="AI103" s="221"/>
      <c r="AJ103" s="221"/>
    </row>
    <row r="104" spans="1:48" ht="12.75" hidden="1" x14ac:dyDescent="0.2">
      <c r="A104" s="248" t="s">
        <v>544</v>
      </c>
      <c r="B104" s="250">
        <v>4380</v>
      </c>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21"/>
      <c r="AI104" s="221"/>
      <c r="AJ104" s="221"/>
    </row>
    <row r="105" spans="1:48" ht="12.75" hidden="1" x14ac:dyDescent="0.2">
      <c r="A105" s="248" t="s">
        <v>545</v>
      </c>
      <c r="B105" s="246">
        <v>1.95736</v>
      </c>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21"/>
      <c r="AI105" s="221"/>
      <c r="AJ105" s="221"/>
    </row>
    <row r="106" spans="1:48" ht="15" hidden="1" x14ac:dyDescent="0.2">
      <c r="A106" s="251" t="s">
        <v>546</v>
      </c>
      <c r="B106" s="252">
        <v>0</v>
      </c>
      <c r="C106" s="247"/>
      <c r="D106" s="253">
        <v>0.33</v>
      </c>
      <c r="E106" s="253">
        <v>0.33</v>
      </c>
      <c r="F106" s="253">
        <v>0.34</v>
      </c>
      <c r="G106" s="252">
        <v>0</v>
      </c>
      <c r="H106" s="252">
        <v>0</v>
      </c>
      <c r="I106" s="252">
        <v>0</v>
      </c>
      <c r="J106" s="252">
        <v>0</v>
      </c>
      <c r="K106" s="252">
        <v>0</v>
      </c>
      <c r="L106" s="252">
        <v>0</v>
      </c>
      <c r="M106" s="252">
        <v>0</v>
      </c>
      <c r="N106" s="252">
        <v>0</v>
      </c>
      <c r="O106" s="252">
        <v>0</v>
      </c>
      <c r="P106" s="252">
        <v>0</v>
      </c>
      <c r="Q106" s="252">
        <v>0</v>
      </c>
      <c r="R106" s="252">
        <v>0</v>
      </c>
      <c r="S106" s="252">
        <v>0</v>
      </c>
      <c r="T106" s="252">
        <v>0</v>
      </c>
      <c r="U106" s="252">
        <v>0</v>
      </c>
      <c r="V106" s="252">
        <v>0</v>
      </c>
      <c r="W106" s="252">
        <v>0</v>
      </c>
      <c r="X106" s="252">
        <v>0</v>
      </c>
      <c r="Y106" s="252">
        <v>0</v>
      </c>
      <c r="Z106" s="252">
        <v>0</v>
      </c>
      <c r="AA106" s="252">
        <v>0</v>
      </c>
      <c r="AB106" s="252">
        <v>0</v>
      </c>
      <c r="AC106" s="252">
        <v>0</v>
      </c>
      <c r="AD106" s="252">
        <v>0</v>
      </c>
      <c r="AE106" s="252">
        <v>0</v>
      </c>
      <c r="AF106" s="252">
        <v>0</v>
      </c>
      <c r="AG106" s="252">
        <v>0</v>
      </c>
      <c r="AH106" s="221"/>
      <c r="AI106" s="221"/>
      <c r="AJ106" s="221"/>
    </row>
    <row r="107" spans="1:48" ht="12.75" hidden="1" x14ac:dyDescent="0.2">
      <c r="A107" s="224"/>
      <c r="B107" s="222"/>
      <c r="C107" s="222"/>
      <c r="D107" s="222"/>
      <c r="E107" s="222"/>
      <c r="F107" s="222"/>
      <c r="G107" s="222"/>
      <c r="H107" s="222"/>
      <c r="I107" s="222"/>
      <c r="J107" s="222"/>
      <c r="K107" s="222"/>
      <c r="L107" s="222"/>
      <c r="M107" s="222"/>
      <c r="N107" s="222"/>
      <c r="O107" s="222"/>
      <c r="P107" s="222"/>
      <c r="Q107" s="222"/>
      <c r="R107" s="222"/>
      <c r="S107" s="222"/>
      <c r="T107" s="222"/>
      <c r="U107" s="222"/>
      <c r="V107" s="222"/>
      <c r="W107" s="222"/>
      <c r="X107" s="222"/>
      <c r="Y107" s="222"/>
      <c r="Z107" s="222"/>
      <c r="AA107" s="222"/>
      <c r="AB107" s="222"/>
      <c r="AC107" s="222"/>
      <c r="AD107" s="222"/>
      <c r="AE107" s="222"/>
      <c r="AF107" s="222"/>
      <c r="AG107" s="222"/>
      <c r="AH107" s="222"/>
      <c r="AI107" s="222"/>
      <c r="AJ107" s="222"/>
      <c r="AK107" s="222"/>
      <c r="AL107" s="222"/>
      <c r="AM107" s="222"/>
      <c r="AN107" s="222"/>
      <c r="AO107" s="222"/>
      <c r="AP107" s="222"/>
      <c r="AQ107" s="222"/>
      <c r="AR107" s="222"/>
      <c r="AS107" s="222"/>
      <c r="AT107" s="222"/>
      <c r="AU107" s="222"/>
      <c r="AV107" s="222"/>
    </row>
    <row r="108" spans="1:48" ht="12.75" hidden="1" x14ac:dyDescent="0.2">
      <c r="A108" s="224"/>
      <c r="B108" s="222"/>
      <c r="C108" s="222"/>
      <c r="D108" s="222"/>
      <c r="E108" s="222"/>
      <c r="F108" s="222"/>
      <c r="G108" s="222"/>
      <c r="H108" s="222"/>
      <c r="I108" s="222"/>
      <c r="J108" s="222"/>
      <c r="K108" s="222"/>
      <c r="L108" s="222"/>
      <c r="M108" s="222"/>
      <c r="N108" s="222"/>
      <c r="O108" s="222"/>
      <c r="P108" s="222"/>
      <c r="Q108" s="222"/>
      <c r="R108" s="222"/>
      <c r="S108" s="222"/>
      <c r="T108" s="222"/>
      <c r="U108" s="222"/>
      <c r="V108" s="222"/>
      <c r="W108" s="222"/>
      <c r="X108" s="222"/>
      <c r="Y108" s="222"/>
      <c r="Z108" s="222"/>
      <c r="AA108" s="222"/>
      <c r="AB108" s="222"/>
      <c r="AC108" s="222"/>
      <c r="AD108" s="222"/>
      <c r="AE108" s="222"/>
      <c r="AF108" s="222"/>
      <c r="AG108" s="222"/>
      <c r="AH108" s="222"/>
      <c r="AI108" s="222"/>
      <c r="AJ108" s="222"/>
      <c r="AK108" s="222"/>
      <c r="AL108" s="222"/>
      <c r="AM108" s="222"/>
      <c r="AN108" s="222"/>
      <c r="AO108" s="222"/>
      <c r="AP108" s="222"/>
      <c r="AQ108" s="222"/>
      <c r="AR108" s="222"/>
      <c r="AS108" s="222"/>
      <c r="AT108" s="222"/>
      <c r="AU108" s="222"/>
      <c r="AV108" s="222"/>
    </row>
    <row r="109" spans="1:48" ht="12.75" hidden="1" x14ac:dyDescent="0.2">
      <c r="A109" s="245"/>
      <c r="B109" s="463" t="s">
        <v>547</v>
      </c>
      <c r="C109" s="464"/>
      <c r="D109" s="463" t="s">
        <v>548</v>
      </c>
      <c r="E109" s="464"/>
      <c r="F109" s="245"/>
      <c r="G109" s="245"/>
      <c r="H109" s="245"/>
      <c r="I109" s="245"/>
      <c r="J109" s="245"/>
      <c r="K109" s="222"/>
      <c r="L109" s="222"/>
      <c r="M109" s="222"/>
      <c r="N109" s="222"/>
      <c r="O109" s="222"/>
      <c r="P109" s="222"/>
      <c r="Q109" s="222"/>
      <c r="R109" s="222"/>
      <c r="S109" s="222"/>
      <c r="T109" s="222"/>
      <c r="U109" s="222"/>
      <c r="V109" s="222"/>
      <c r="W109" s="222"/>
      <c r="X109" s="222"/>
      <c r="Y109" s="222"/>
      <c r="Z109" s="222"/>
      <c r="AA109" s="222"/>
      <c r="AB109" s="222"/>
      <c r="AC109" s="222"/>
      <c r="AD109" s="222"/>
      <c r="AE109" s="222"/>
      <c r="AF109" s="222"/>
      <c r="AG109" s="222"/>
      <c r="AH109" s="222"/>
      <c r="AI109" s="222"/>
      <c r="AJ109" s="222"/>
      <c r="AK109" s="222"/>
      <c r="AL109" s="222"/>
      <c r="AM109" s="222"/>
      <c r="AN109" s="222"/>
      <c r="AO109" s="222"/>
      <c r="AP109" s="222"/>
      <c r="AQ109" s="222"/>
      <c r="AR109" s="222"/>
      <c r="AS109" s="222"/>
      <c r="AT109" s="222"/>
      <c r="AU109" s="222"/>
      <c r="AV109" s="222"/>
    </row>
    <row r="110" spans="1:48" ht="12.75" hidden="1" x14ac:dyDescent="0.2">
      <c r="A110" s="248" t="s">
        <v>549</v>
      </c>
      <c r="B110" s="369">
        <f>'3.1. паспорт Техсостояние ПС'!N25</f>
        <v>0.5</v>
      </c>
      <c r="C110" s="245" t="s">
        <v>550</v>
      </c>
      <c r="D110" s="254">
        <f>'3.1. паспорт Техсостояние ПС'!O25</f>
        <v>2</v>
      </c>
      <c r="E110" s="245" t="s">
        <v>550</v>
      </c>
      <c r="F110" s="245"/>
      <c r="G110" s="245"/>
      <c r="H110" s="245"/>
      <c r="I110" s="245"/>
      <c r="J110" s="245"/>
      <c r="K110" s="222"/>
      <c r="L110" s="222"/>
      <c r="M110" s="222"/>
      <c r="N110" s="222"/>
      <c r="O110" s="222"/>
      <c r="P110" s="222"/>
      <c r="Q110" s="222"/>
      <c r="R110" s="222"/>
      <c r="S110" s="222"/>
      <c r="T110" s="222"/>
      <c r="U110" s="222"/>
      <c r="V110" s="222"/>
      <c r="W110" s="222"/>
      <c r="X110" s="222"/>
      <c r="Y110" s="222"/>
      <c r="Z110" s="222"/>
      <c r="AA110" s="222"/>
      <c r="AB110" s="222"/>
      <c r="AC110" s="222"/>
      <c r="AD110" s="222"/>
      <c r="AE110" s="222"/>
      <c r="AF110" s="222"/>
      <c r="AG110" s="222"/>
      <c r="AH110" s="222"/>
      <c r="AI110" s="222"/>
      <c r="AJ110" s="222"/>
      <c r="AK110" s="222"/>
      <c r="AL110" s="222"/>
      <c r="AM110" s="222"/>
      <c r="AN110" s="222"/>
      <c r="AO110" s="222"/>
      <c r="AP110" s="222"/>
      <c r="AQ110" s="222"/>
      <c r="AR110" s="222"/>
      <c r="AS110" s="222"/>
      <c r="AT110" s="222"/>
      <c r="AU110" s="222"/>
      <c r="AV110" s="222"/>
    </row>
    <row r="111" spans="1:48" ht="25.5" hidden="1" x14ac:dyDescent="0.2">
      <c r="A111" s="248" t="s">
        <v>549</v>
      </c>
      <c r="B111" s="245">
        <f>$B$103*B110</f>
        <v>0.46500000000000002</v>
      </c>
      <c r="C111" s="245" t="s">
        <v>126</v>
      </c>
      <c r="D111" s="245">
        <f>$B$103*D110</f>
        <v>1.86</v>
      </c>
      <c r="E111" s="245" t="s">
        <v>126</v>
      </c>
      <c r="F111" s="248" t="s">
        <v>551</v>
      </c>
      <c r="G111" s="388">
        <f>D110-B110</f>
        <v>1.5</v>
      </c>
      <c r="H111" s="245" t="s">
        <v>550</v>
      </c>
      <c r="I111" s="255">
        <f>$B$103*G111</f>
        <v>1.395</v>
      </c>
      <c r="J111" s="245" t="s">
        <v>126</v>
      </c>
      <c r="K111" s="222"/>
      <c r="L111" s="222"/>
      <c r="M111" s="222"/>
      <c r="N111" s="222"/>
      <c r="O111" s="222"/>
      <c r="P111" s="222"/>
      <c r="Q111" s="222"/>
      <c r="R111" s="222"/>
      <c r="S111" s="222"/>
      <c r="T111" s="222"/>
      <c r="U111" s="222"/>
      <c r="V111" s="222"/>
      <c r="W111" s="222"/>
      <c r="X111" s="222"/>
      <c r="Y111" s="222"/>
      <c r="Z111" s="222"/>
      <c r="AA111" s="222"/>
      <c r="AB111" s="222"/>
      <c r="AC111" s="222"/>
      <c r="AD111" s="222"/>
      <c r="AE111" s="222"/>
      <c r="AF111" s="222"/>
      <c r="AG111" s="222"/>
      <c r="AH111" s="222"/>
      <c r="AI111" s="222"/>
      <c r="AJ111" s="222"/>
      <c r="AK111" s="222"/>
      <c r="AL111" s="222"/>
      <c r="AM111" s="222"/>
      <c r="AN111" s="222"/>
      <c r="AO111" s="222"/>
      <c r="AP111" s="222"/>
      <c r="AQ111" s="222"/>
      <c r="AR111" s="222"/>
      <c r="AS111" s="222"/>
      <c r="AT111" s="222"/>
      <c r="AU111" s="222"/>
      <c r="AV111" s="222"/>
    </row>
    <row r="112" spans="1:48" ht="25.5" hidden="1" x14ac:dyDescent="0.2">
      <c r="A112" s="245"/>
      <c r="B112" s="245"/>
      <c r="C112" s="245"/>
      <c r="D112" s="245"/>
      <c r="E112" s="245"/>
      <c r="F112" s="248" t="s">
        <v>552</v>
      </c>
      <c r="G112" s="245">
        <f>I112/$B$103</f>
        <v>0</v>
      </c>
      <c r="H112" s="245" t="s">
        <v>550</v>
      </c>
      <c r="I112" s="254"/>
      <c r="J112" s="245" t="s">
        <v>126</v>
      </c>
      <c r="K112" s="222"/>
      <c r="L112" s="222"/>
      <c r="M112" s="222"/>
      <c r="N112" s="222"/>
      <c r="O112" s="222"/>
      <c r="P112" s="222"/>
      <c r="Q112" s="222"/>
      <c r="R112" s="222"/>
      <c r="S112" s="222"/>
      <c r="T112" s="222"/>
      <c r="U112" s="222"/>
      <c r="V112" s="222"/>
      <c r="W112" s="222"/>
      <c r="X112" s="222"/>
      <c r="Y112" s="222"/>
      <c r="Z112" s="222"/>
      <c r="AA112" s="222"/>
      <c r="AB112" s="222"/>
      <c r="AC112" s="222"/>
      <c r="AD112" s="222"/>
      <c r="AE112" s="222"/>
      <c r="AF112" s="222"/>
      <c r="AG112" s="222"/>
      <c r="AH112" s="222"/>
      <c r="AI112" s="222"/>
      <c r="AJ112" s="222"/>
      <c r="AK112" s="222"/>
      <c r="AL112" s="222"/>
      <c r="AM112" s="222"/>
      <c r="AN112" s="222"/>
      <c r="AO112" s="222"/>
      <c r="AP112" s="222"/>
      <c r="AQ112" s="222"/>
      <c r="AR112" s="222"/>
      <c r="AS112" s="222"/>
      <c r="AT112" s="222"/>
      <c r="AU112" s="222"/>
      <c r="AV112" s="222"/>
    </row>
    <row r="113" spans="1:48" ht="38.25" hidden="1" x14ac:dyDescent="0.2">
      <c r="A113" s="256"/>
      <c r="B113" s="257"/>
      <c r="C113" s="257"/>
      <c r="D113" s="257"/>
      <c r="E113" s="257"/>
      <c r="F113" s="258" t="s">
        <v>553</v>
      </c>
      <c r="G113" s="255">
        <f>G111</f>
        <v>1.5</v>
      </c>
      <c r="H113" s="245" t="s">
        <v>550</v>
      </c>
      <c r="I113" s="250">
        <f>I111</f>
        <v>1.395</v>
      </c>
      <c r="J113" s="245" t="s">
        <v>126</v>
      </c>
      <c r="K113" s="222"/>
      <c r="L113" s="222"/>
      <c r="M113" s="222"/>
      <c r="N113" s="222"/>
      <c r="O113" s="222"/>
      <c r="P113" s="222"/>
      <c r="Q113" s="222"/>
      <c r="R113" s="222"/>
      <c r="S113" s="222"/>
      <c r="T113" s="222"/>
      <c r="U113" s="222"/>
      <c r="V113" s="222"/>
      <c r="W113" s="222"/>
      <c r="X113" s="222"/>
      <c r="Y113" s="222"/>
      <c r="Z113" s="222"/>
      <c r="AA113" s="222"/>
      <c r="AB113" s="222"/>
      <c r="AC113" s="222"/>
      <c r="AD113" s="222"/>
      <c r="AE113" s="222"/>
      <c r="AF113" s="222"/>
      <c r="AG113" s="222"/>
      <c r="AH113" s="222"/>
      <c r="AI113" s="222"/>
      <c r="AJ113" s="222"/>
      <c r="AK113" s="222"/>
      <c r="AL113" s="222"/>
      <c r="AM113" s="222"/>
      <c r="AN113" s="222"/>
      <c r="AO113" s="222"/>
      <c r="AP113" s="222"/>
      <c r="AQ113" s="222"/>
      <c r="AR113" s="222"/>
      <c r="AS113" s="222"/>
      <c r="AT113" s="222"/>
      <c r="AU113" s="222"/>
      <c r="AV113" s="222"/>
    </row>
    <row r="114" spans="1:48" ht="12.75" hidden="1" x14ac:dyDescent="0.2">
      <c r="A114" s="225"/>
      <c r="B114" s="223"/>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2"/>
      <c r="AR114" s="222"/>
      <c r="AS114" s="222"/>
      <c r="AT114" s="222"/>
      <c r="AU114" s="222"/>
      <c r="AV114" s="222"/>
    </row>
    <row r="115" spans="1:48" hidden="1" x14ac:dyDescent="0.2">
      <c r="A115" s="259" t="s">
        <v>554</v>
      </c>
      <c r="B115" s="260">
        <v>3.1821696199999998</v>
      </c>
      <c r="C115" s="223"/>
      <c r="D115" s="452" t="s">
        <v>339</v>
      </c>
      <c r="E115" s="331" t="s">
        <v>639</v>
      </c>
      <c r="F115" s="332">
        <v>35</v>
      </c>
      <c r="G115" s="453" t="s">
        <v>640</v>
      </c>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3"/>
      <c r="AR115" s="223"/>
      <c r="AS115" s="223"/>
      <c r="AT115" s="223"/>
      <c r="AU115" s="223"/>
      <c r="AV115" s="223"/>
    </row>
    <row r="116" spans="1:48" hidden="1" x14ac:dyDescent="0.2">
      <c r="A116" s="259" t="s">
        <v>339</v>
      </c>
      <c r="B116" s="261">
        <v>30</v>
      </c>
      <c r="C116" s="223"/>
      <c r="D116" s="452"/>
      <c r="E116" s="331" t="s">
        <v>633</v>
      </c>
      <c r="F116" s="332">
        <v>30</v>
      </c>
      <c r="G116" s="453"/>
      <c r="H116" s="223"/>
      <c r="I116" s="223"/>
      <c r="J116" s="22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3"/>
      <c r="AR116" s="223"/>
      <c r="AS116" s="223"/>
      <c r="AT116" s="223"/>
      <c r="AU116" s="223"/>
      <c r="AV116" s="223"/>
    </row>
    <row r="117" spans="1:48" hidden="1" x14ac:dyDescent="0.2">
      <c r="A117" s="259" t="s">
        <v>555</v>
      </c>
      <c r="B117" s="261" t="s">
        <v>530</v>
      </c>
      <c r="C117" s="226" t="s">
        <v>556</v>
      </c>
      <c r="D117" s="452"/>
      <c r="E117" s="331" t="s">
        <v>641</v>
      </c>
      <c r="F117" s="332">
        <v>30</v>
      </c>
      <c r="G117" s="453"/>
      <c r="H117" s="223"/>
      <c r="I117" s="223"/>
      <c r="J117" s="22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row>
    <row r="118" spans="1:48" s="195" customFormat="1" hidden="1" x14ac:dyDescent="0.2">
      <c r="A118" s="262"/>
      <c r="B118" s="263"/>
      <c r="C118" s="227"/>
      <c r="D118" s="452"/>
      <c r="E118" s="331" t="s">
        <v>642</v>
      </c>
      <c r="F118" s="332">
        <v>30</v>
      </c>
      <c r="G118" s="453"/>
      <c r="H118" s="228"/>
      <c r="I118" s="228"/>
      <c r="J118" s="228"/>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8"/>
      <c r="AR118" s="228"/>
      <c r="AS118" s="228"/>
      <c r="AT118" s="228"/>
      <c r="AU118" s="228"/>
      <c r="AV118" s="228"/>
    </row>
    <row r="119" spans="1:48" ht="12.75" hidden="1" x14ac:dyDescent="0.2">
      <c r="A119" s="259" t="s">
        <v>557</v>
      </c>
      <c r="B119" s="264">
        <f>$B$115*1000*1000</f>
        <v>3182169.6199999996</v>
      </c>
      <c r="C119" s="223"/>
      <c r="D119" s="223"/>
      <c r="E119" s="223"/>
      <c r="F119" s="223"/>
      <c r="G119" s="223"/>
      <c r="H119" s="223"/>
      <c r="I119" s="223"/>
      <c r="J119" s="223"/>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row>
    <row r="120" spans="1:48" ht="12.75" hidden="1" x14ac:dyDescent="0.2">
      <c r="A120" s="259" t="s">
        <v>558</v>
      </c>
      <c r="B120" s="265">
        <v>0.01</v>
      </c>
      <c r="C120" s="223"/>
      <c r="D120" s="223"/>
      <c r="E120" s="223"/>
      <c r="F120" s="223"/>
      <c r="G120" s="223"/>
      <c r="H120" s="223"/>
      <c r="I120" s="223"/>
      <c r="J120" s="223"/>
      <c r="K120" s="223"/>
      <c r="L120" s="223"/>
      <c r="M120" s="223"/>
      <c r="N120" s="223"/>
      <c r="O120" s="223"/>
      <c r="P120" s="223"/>
      <c r="Q120" s="223"/>
      <c r="R120" s="223"/>
      <c r="S120" s="223"/>
      <c r="T120" s="223"/>
      <c r="U120" s="223"/>
      <c r="V120" s="223"/>
      <c r="W120" s="223"/>
      <c r="X120" s="223"/>
      <c r="Y120" s="223"/>
      <c r="Z120" s="223"/>
      <c r="AA120" s="223"/>
      <c r="AB120" s="223"/>
      <c r="AC120" s="223"/>
      <c r="AD120" s="223"/>
      <c r="AE120" s="223"/>
      <c r="AF120" s="223"/>
      <c r="AG120" s="223"/>
      <c r="AH120" s="223"/>
      <c r="AI120" s="223"/>
      <c r="AJ120" s="223"/>
      <c r="AK120" s="223"/>
      <c r="AL120" s="223"/>
      <c r="AM120" s="223"/>
      <c r="AN120" s="223"/>
      <c r="AO120" s="223"/>
      <c r="AP120" s="223"/>
      <c r="AQ120" s="223"/>
      <c r="AR120" s="223"/>
      <c r="AS120" s="223"/>
      <c r="AT120" s="223"/>
      <c r="AU120" s="223"/>
      <c r="AV120" s="223"/>
    </row>
    <row r="121" spans="1:48" ht="12.75" hidden="1" x14ac:dyDescent="0.2">
      <c r="A121" s="225"/>
      <c r="B121" s="229"/>
      <c r="C121" s="223"/>
      <c r="D121" s="223"/>
      <c r="E121" s="223"/>
      <c r="F121" s="223"/>
      <c r="G121" s="223"/>
      <c r="H121" s="223"/>
      <c r="I121" s="223"/>
      <c r="J121" s="223"/>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row>
    <row r="122" spans="1:48" ht="12.75" hidden="1" x14ac:dyDescent="0.2">
      <c r="A122" s="259" t="s">
        <v>559</v>
      </c>
      <c r="B122" s="266">
        <v>0.13</v>
      </c>
      <c r="C122" s="223"/>
      <c r="D122" s="223"/>
      <c r="E122" s="223"/>
      <c r="F122" s="223"/>
      <c r="G122" s="223"/>
      <c r="H122" s="223"/>
      <c r="I122" s="223"/>
      <c r="J122" s="223"/>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row>
    <row r="123" spans="1:48" hidden="1" x14ac:dyDescent="0.2">
      <c r="A123" s="267"/>
      <c r="B123" s="268"/>
      <c r="C123" s="223"/>
      <c r="D123" s="223"/>
      <c r="E123" s="223"/>
      <c r="F123" s="223"/>
      <c r="G123" s="223"/>
      <c r="H123" s="223"/>
      <c r="I123" s="223"/>
      <c r="J123" s="223"/>
      <c r="K123" s="223"/>
      <c r="L123" s="223"/>
      <c r="M123" s="223"/>
      <c r="N123" s="223"/>
      <c r="O123" s="223"/>
      <c r="P123" s="223"/>
      <c r="Q123" s="223"/>
      <c r="R123" s="223"/>
      <c r="S123" s="223"/>
      <c r="T123" s="223"/>
      <c r="U123" s="223"/>
      <c r="V123" s="223"/>
      <c r="W123" s="223"/>
      <c r="X123" s="223"/>
      <c r="Y123" s="223"/>
      <c r="Z123" s="223"/>
      <c r="AA123" s="223"/>
      <c r="AB123" s="223"/>
      <c r="AC123" s="223"/>
      <c r="AD123" s="223"/>
      <c r="AE123" s="223"/>
      <c r="AF123" s="223"/>
      <c r="AG123" s="223"/>
      <c r="AH123" s="223"/>
      <c r="AI123" s="223"/>
      <c r="AJ123" s="223"/>
      <c r="AK123" s="223"/>
      <c r="AL123" s="223"/>
      <c r="AM123" s="223"/>
      <c r="AN123" s="223"/>
      <c r="AO123" s="223"/>
      <c r="AP123" s="223"/>
      <c r="AQ123" s="223"/>
      <c r="AR123" s="223"/>
      <c r="AS123" s="223"/>
      <c r="AT123" s="223"/>
      <c r="AU123" s="223"/>
      <c r="AV123" s="223"/>
    </row>
    <row r="124" spans="1:48" ht="12.75" hidden="1" x14ac:dyDescent="0.2">
      <c r="A124" s="225"/>
      <c r="B124" s="223"/>
      <c r="C124" s="223"/>
      <c r="D124" s="223"/>
      <c r="E124" s="223"/>
      <c r="F124" s="223"/>
      <c r="G124" s="223"/>
      <c r="H124" s="223"/>
      <c r="I124" s="223"/>
      <c r="J124" s="223"/>
      <c r="K124" s="223"/>
      <c r="L124" s="223"/>
      <c r="M124" s="223"/>
      <c r="N124" s="223"/>
      <c r="O124" s="223"/>
      <c r="P124" s="223"/>
      <c r="Q124" s="223"/>
      <c r="R124" s="223"/>
      <c r="S124" s="223"/>
      <c r="T124" s="223"/>
      <c r="U124" s="223"/>
      <c r="V124" s="223"/>
      <c r="W124" s="223"/>
      <c r="X124" s="223"/>
      <c r="Y124" s="223"/>
      <c r="Z124" s="223"/>
      <c r="AA124" s="223"/>
      <c r="AB124" s="223"/>
      <c r="AC124" s="223"/>
      <c r="AD124" s="223"/>
      <c r="AE124" s="223"/>
      <c r="AF124" s="223"/>
      <c r="AG124" s="223"/>
      <c r="AK124" s="223"/>
      <c r="AL124" s="223"/>
      <c r="AM124" s="223"/>
      <c r="AN124" s="223"/>
      <c r="AO124" s="223"/>
      <c r="AP124" s="223"/>
      <c r="AQ124" s="223"/>
      <c r="AR124" s="223"/>
      <c r="AS124" s="223"/>
      <c r="AT124" s="223"/>
      <c r="AU124" s="223"/>
      <c r="AV124" s="223"/>
    </row>
    <row r="125" spans="1:48" hidden="1" x14ac:dyDescent="0.2">
      <c r="A125" s="259" t="s">
        <v>560</v>
      </c>
      <c r="C125" s="228"/>
      <c r="D125" s="228"/>
      <c r="E125" s="228"/>
      <c r="F125" s="228"/>
      <c r="G125" s="228"/>
      <c r="H125" s="228"/>
      <c r="I125" s="228"/>
      <c r="J125" s="228"/>
      <c r="K125" s="228"/>
      <c r="L125" s="228"/>
      <c r="M125" s="228"/>
      <c r="N125" s="228"/>
      <c r="O125" s="228"/>
      <c r="P125" s="228"/>
      <c r="Q125" s="228"/>
      <c r="R125" s="228"/>
      <c r="S125" s="228"/>
      <c r="T125" s="228"/>
      <c r="U125" s="228"/>
      <c r="V125" s="228"/>
      <c r="W125" s="228"/>
      <c r="X125" s="228"/>
      <c r="Y125" s="228"/>
      <c r="Z125" s="228"/>
      <c r="AA125" s="228"/>
      <c r="AB125" s="228"/>
      <c r="AC125" s="228"/>
      <c r="AD125" s="228"/>
      <c r="AE125" s="228"/>
      <c r="AF125" s="228"/>
      <c r="AG125" s="228"/>
      <c r="AK125" s="228"/>
      <c r="AL125" s="228"/>
      <c r="AM125" s="228"/>
      <c r="AN125" s="228"/>
      <c r="AO125" s="228"/>
      <c r="AP125" s="228"/>
      <c r="AQ125" s="228"/>
      <c r="AR125" s="228"/>
      <c r="AS125" s="228"/>
      <c r="AT125" s="228"/>
      <c r="AU125" s="228"/>
      <c r="AV125" s="228"/>
    </row>
    <row r="126" spans="1:48" ht="12.75" hidden="1" x14ac:dyDescent="0.2">
      <c r="A126" s="259"/>
      <c r="B126" s="269">
        <v>2020</v>
      </c>
      <c r="C126" s="269">
        <f>B126+1</f>
        <v>2021</v>
      </c>
      <c r="D126" s="269">
        <f t="shared" ref="D126:AG126" si="38">C126+1</f>
        <v>2022</v>
      </c>
      <c r="E126" s="269">
        <f t="shared" si="38"/>
        <v>2023</v>
      </c>
      <c r="F126" s="269">
        <f t="shared" si="38"/>
        <v>2024</v>
      </c>
      <c r="G126" s="269">
        <f t="shared" si="38"/>
        <v>2025</v>
      </c>
      <c r="H126" s="269">
        <f t="shared" si="38"/>
        <v>2026</v>
      </c>
      <c r="I126" s="269">
        <f t="shared" si="38"/>
        <v>2027</v>
      </c>
      <c r="J126" s="269">
        <f t="shared" si="38"/>
        <v>2028</v>
      </c>
      <c r="K126" s="269">
        <f t="shared" si="38"/>
        <v>2029</v>
      </c>
      <c r="L126" s="269">
        <f t="shared" si="38"/>
        <v>2030</v>
      </c>
      <c r="M126" s="269">
        <f t="shared" si="38"/>
        <v>2031</v>
      </c>
      <c r="N126" s="269">
        <f t="shared" si="38"/>
        <v>2032</v>
      </c>
      <c r="O126" s="269">
        <f t="shared" si="38"/>
        <v>2033</v>
      </c>
      <c r="P126" s="269">
        <f t="shared" si="38"/>
        <v>2034</v>
      </c>
      <c r="Q126" s="269">
        <f t="shared" si="38"/>
        <v>2035</v>
      </c>
      <c r="R126" s="269">
        <f t="shared" si="38"/>
        <v>2036</v>
      </c>
      <c r="S126" s="269">
        <f t="shared" si="38"/>
        <v>2037</v>
      </c>
      <c r="T126" s="269">
        <f t="shared" si="38"/>
        <v>2038</v>
      </c>
      <c r="U126" s="269">
        <f t="shared" si="38"/>
        <v>2039</v>
      </c>
      <c r="V126" s="269">
        <f t="shared" si="38"/>
        <v>2040</v>
      </c>
      <c r="W126" s="269">
        <f t="shared" si="38"/>
        <v>2041</v>
      </c>
      <c r="X126" s="269">
        <f t="shared" si="38"/>
        <v>2042</v>
      </c>
      <c r="Y126" s="269">
        <f t="shared" si="38"/>
        <v>2043</v>
      </c>
      <c r="Z126" s="269">
        <f t="shared" si="38"/>
        <v>2044</v>
      </c>
      <c r="AA126" s="269">
        <f t="shared" si="38"/>
        <v>2045</v>
      </c>
      <c r="AB126" s="269">
        <f t="shared" si="38"/>
        <v>2046</v>
      </c>
      <c r="AC126" s="269">
        <f t="shared" si="38"/>
        <v>2047</v>
      </c>
      <c r="AD126" s="269">
        <f t="shared" si="38"/>
        <v>2048</v>
      </c>
      <c r="AE126" s="269">
        <f t="shared" si="38"/>
        <v>2049</v>
      </c>
      <c r="AF126" s="269">
        <f t="shared" si="38"/>
        <v>2050</v>
      </c>
      <c r="AG126" s="269">
        <f t="shared" si="38"/>
        <v>2051</v>
      </c>
    </row>
    <row r="127" spans="1:48" ht="15" hidden="1" x14ac:dyDescent="0.2">
      <c r="A127" s="259" t="s">
        <v>561</v>
      </c>
      <c r="B127" s="335">
        <v>0</v>
      </c>
      <c r="C127" s="335">
        <v>5.0999999999999997E-2</v>
      </c>
      <c r="D127" s="334">
        <v>4.8000000000000001E-2</v>
      </c>
      <c r="E127" s="334">
        <v>4.7E-2</v>
      </c>
      <c r="F127" s="334">
        <v>4.7E-2</v>
      </c>
      <c r="G127" s="334">
        <v>4.7E-2</v>
      </c>
      <c r="H127" s="334">
        <v>4.7E-2</v>
      </c>
      <c r="I127" s="334">
        <v>4.7E-2</v>
      </c>
      <c r="J127" s="334">
        <v>4.7E-2</v>
      </c>
      <c r="K127" s="334">
        <v>4.7E-2</v>
      </c>
      <c r="L127" s="334">
        <v>4.7E-2</v>
      </c>
      <c r="M127" s="334">
        <v>4.7E-2</v>
      </c>
      <c r="N127" s="334">
        <v>4.7E-2</v>
      </c>
      <c r="O127" s="334">
        <v>4.7E-2</v>
      </c>
      <c r="P127" s="334">
        <v>4.7E-2</v>
      </c>
      <c r="Q127" s="334">
        <v>4.7E-2</v>
      </c>
      <c r="R127" s="334">
        <v>4.7E-2</v>
      </c>
      <c r="S127" s="334">
        <v>4.7E-2</v>
      </c>
      <c r="T127" s="334">
        <v>4.7E-2</v>
      </c>
      <c r="U127" s="334">
        <v>4.7E-2</v>
      </c>
      <c r="V127" s="334">
        <v>4.7E-2</v>
      </c>
      <c r="W127" s="334">
        <v>4.7E-2</v>
      </c>
      <c r="X127" s="334">
        <v>4.7E-2</v>
      </c>
      <c r="Y127" s="334">
        <v>4.7E-2</v>
      </c>
      <c r="Z127" s="334">
        <v>4.7E-2</v>
      </c>
      <c r="AA127" s="334">
        <v>4.7E-2</v>
      </c>
      <c r="AB127" s="334">
        <v>4.7E-2</v>
      </c>
      <c r="AC127" s="334">
        <v>4.7E-2</v>
      </c>
      <c r="AD127" s="334">
        <v>4.7E-2</v>
      </c>
      <c r="AE127" s="334">
        <v>4.7E-2</v>
      </c>
      <c r="AF127" s="334">
        <v>4.7E-2</v>
      </c>
      <c r="AG127" s="334">
        <v>4.7E-2</v>
      </c>
    </row>
    <row r="128" spans="1:48" s="195" customFormat="1" ht="15" hidden="1" x14ac:dyDescent="0.2">
      <c r="A128" s="259" t="s">
        <v>562</v>
      </c>
      <c r="B128" s="335">
        <v>0</v>
      </c>
      <c r="C128" s="335">
        <f>(1+B128)*(1+C127)-1</f>
        <v>5.0999999999999934E-2</v>
      </c>
      <c r="D128" s="335">
        <f>(1+C128)*(1+D127)-1</f>
        <v>0.10144799999999998</v>
      </c>
      <c r="E128" s="335">
        <f>(1+D128)*(1+E127)-1</f>
        <v>0.15321605599999999</v>
      </c>
      <c r="F128" s="335">
        <f t="shared" ref="F128:AG128" si="39">(1+E128)*(1+F127)-1</f>
        <v>0.2074172106319998</v>
      </c>
      <c r="G128" s="335">
        <f>(1+F128)*(1+G127)-1</f>
        <v>0.26416581953170382</v>
      </c>
      <c r="H128" s="335">
        <f t="shared" si="39"/>
        <v>0.32358161304969379</v>
      </c>
      <c r="I128" s="335">
        <f t="shared" si="39"/>
        <v>0.38578994886302942</v>
      </c>
      <c r="J128" s="335">
        <f t="shared" si="39"/>
        <v>0.45092207645959181</v>
      </c>
      <c r="K128" s="335">
        <f t="shared" si="39"/>
        <v>0.51911541405319261</v>
      </c>
      <c r="L128" s="335">
        <f t="shared" si="39"/>
        <v>0.59051383851369255</v>
      </c>
      <c r="M128" s="335">
        <f t="shared" si="39"/>
        <v>0.66526798892383598</v>
      </c>
      <c r="N128" s="335">
        <f t="shared" si="39"/>
        <v>0.74353558440325607</v>
      </c>
      <c r="O128" s="335">
        <f t="shared" si="39"/>
        <v>0.82548175687020908</v>
      </c>
      <c r="P128" s="335">
        <f t="shared" si="39"/>
        <v>0.91127939944310876</v>
      </c>
      <c r="Q128" s="335">
        <f t="shared" si="39"/>
        <v>1.0011095312169349</v>
      </c>
      <c r="R128" s="335">
        <f t="shared" si="39"/>
        <v>1.0951616791841308</v>
      </c>
      <c r="S128" s="335">
        <f t="shared" si="39"/>
        <v>1.1936342781057849</v>
      </c>
      <c r="T128" s="335">
        <f t="shared" si="39"/>
        <v>1.2967350891767566</v>
      </c>
      <c r="U128" s="335">
        <f t="shared" si="39"/>
        <v>1.4046816383680638</v>
      </c>
      <c r="V128" s="335">
        <f t="shared" si="39"/>
        <v>1.5177016753713626</v>
      </c>
      <c r="W128" s="335">
        <f t="shared" si="39"/>
        <v>1.6360336541138163</v>
      </c>
      <c r="X128" s="335">
        <f t="shared" si="39"/>
        <v>1.7599272358571656</v>
      </c>
      <c r="Y128" s="335">
        <f t="shared" si="39"/>
        <v>1.8896438159424522</v>
      </c>
      <c r="Z128" s="335">
        <f t="shared" si="39"/>
        <v>2.0254570752917473</v>
      </c>
      <c r="AA128" s="335">
        <f t="shared" si="39"/>
        <v>2.1676535578304592</v>
      </c>
      <c r="AB128" s="335">
        <f t="shared" si="39"/>
        <v>2.3165332750484904</v>
      </c>
      <c r="AC128" s="335">
        <f t="shared" si="39"/>
        <v>2.4724103389757692</v>
      </c>
      <c r="AD128" s="335">
        <f t="shared" si="39"/>
        <v>2.6356136249076303</v>
      </c>
      <c r="AE128" s="335">
        <f t="shared" si="39"/>
        <v>2.8064874652782885</v>
      </c>
      <c r="AF128" s="335">
        <f t="shared" si="39"/>
        <v>2.9853923761463679</v>
      </c>
      <c r="AG128" s="335">
        <f t="shared" si="39"/>
        <v>3.1727058178252472</v>
      </c>
    </row>
    <row r="129" spans="1:48" s="195" customFormat="1" hidden="1" x14ac:dyDescent="0.2">
      <c r="A129" s="230"/>
      <c r="B129" s="270"/>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row>
    <row r="130" spans="1:48" ht="12.75" hidden="1" x14ac:dyDescent="0.2">
      <c r="A130" s="225"/>
      <c r="B130" s="333">
        <v>2020</v>
      </c>
      <c r="C130" s="333">
        <f>B130+1</f>
        <v>2021</v>
      </c>
      <c r="D130" s="333">
        <f t="shared" ref="D130:S131" si="40">C130+1</f>
        <v>2022</v>
      </c>
      <c r="E130" s="333">
        <f t="shared" si="40"/>
        <v>2023</v>
      </c>
      <c r="F130" s="333">
        <f t="shared" si="40"/>
        <v>2024</v>
      </c>
      <c r="G130" s="333">
        <f t="shared" si="40"/>
        <v>2025</v>
      </c>
      <c r="H130" s="333">
        <f t="shared" si="40"/>
        <v>2026</v>
      </c>
      <c r="I130" s="333">
        <f t="shared" si="40"/>
        <v>2027</v>
      </c>
      <c r="J130" s="333">
        <f t="shared" si="40"/>
        <v>2028</v>
      </c>
      <c r="K130" s="333">
        <f t="shared" si="40"/>
        <v>2029</v>
      </c>
      <c r="L130" s="333">
        <f t="shared" si="40"/>
        <v>2030</v>
      </c>
      <c r="M130" s="333">
        <f t="shared" si="40"/>
        <v>2031</v>
      </c>
      <c r="N130" s="333">
        <f t="shared" si="40"/>
        <v>2032</v>
      </c>
      <c r="O130" s="333">
        <f t="shared" si="40"/>
        <v>2033</v>
      </c>
      <c r="P130" s="333">
        <f t="shared" si="40"/>
        <v>2034</v>
      </c>
      <c r="Q130" s="333">
        <f t="shared" si="40"/>
        <v>2035</v>
      </c>
      <c r="R130" s="333">
        <f t="shared" si="40"/>
        <v>2036</v>
      </c>
      <c r="S130" s="333">
        <f t="shared" si="40"/>
        <v>2037</v>
      </c>
      <c r="T130" s="333">
        <f t="shared" ref="T130:AG131" si="41">S130+1</f>
        <v>2038</v>
      </c>
      <c r="U130" s="333">
        <f t="shared" si="41"/>
        <v>2039</v>
      </c>
      <c r="V130" s="333">
        <f t="shared" si="41"/>
        <v>2040</v>
      </c>
      <c r="W130" s="333">
        <f t="shared" si="41"/>
        <v>2041</v>
      </c>
      <c r="X130" s="333">
        <f t="shared" si="41"/>
        <v>2042</v>
      </c>
      <c r="Y130" s="333">
        <f t="shared" si="41"/>
        <v>2043</v>
      </c>
      <c r="Z130" s="333">
        <f t="shared" si="41"/>
        <v>2044</v>
      </c>
      <c r="AA130" s="333">
        <f t="shared" si="41"/>
        <v>2045</v>
      </c>
      <c r="AB130" s="333">
        <f t="shared" si="41"/>
        <v>2046</v>
      </c>
      <c r="AC130" s="333">
        <f t="shared" si="41"/>
        <v>2047</v>
      </c>
      <c r="AD130" s="333">
        <f t="shared" si="41"/>
        <v>2048</v>
      </c>
      <c r="AE130" s="333">
        <f t="shared" si="41"/>
        <v>2049</v>
      </c>
      <c r="AF130" s="333">
        <f t="shared" si="41"/>
        <v>2050</v>
      </c>
      <c r="AG130" s="333">
        <f t="shared" si="41"/>
        <v>2051</v>
      </c>
      <c r="AH130" s="223"/>
      <c r="AI130" s="223"/>
      <c r="AJ130" s="223"/>
      <c r="AK130" s="223"/>
      <c r="AL130" s="223"/>
      <c r="AM130" s="223"/>
      <c r="AN130" s="223"/>
      <c r="AO130" s="223"/>
      <c r="AP130" s="223"/>
      <c r="AQ130" s="223"/>
      <c r="AR130" s="223"/>
      <c r="AS130" s="223"/>
      <c r="AT130" s="223"/>
      <c r="AU130" s="223"/>
      <c r="AV130" s="223"/>
    </row>
    <row r="131" spans="1:48" hidden="1" x14ac:dyDescent="0.2">
      <c r="A131" s="225"/>
      <c r="B131" s="336">
        <v>0</v>
      </c>
      <c r="C131" s="336">
        <v>1</v>
      </c>
      <c r="D131" s="336">
        <v>2</v>
      </c>
      <c r="E131" s="336">
        <f>D131+1</f>
        <v>3</v>
      </c>
      <c r="F131" s="336">
        <f t="shared" si="40"/>
        <v>4</v>
      </c>
      <c r="G131" s="336">
        <f t="shared" si="40"/>
        <v>5</v>
      </c>
      <c r="H131" s="336">
        <f t="shared" si="40"/>
        <v>6</v>
      </c>
      <c r="I131" s="336">
        <f t="shared" si="40"/>
        <v>7</v>
      </c>
      <c r="J131" s="336">
        <f t="shared" si="40"/>
        <v>8</v>
      </c>
      <c r="K131" s="336">
        <f t="shared" si="40"/>
        <v>9</v>
      </c>
      <c r="L131" s="336">
        <f t="shared" si="40"/>
        <v>10</v>
      </c>
      <c r="M131" s="336">
        <f t="shared" si="40"/>
        <v>11</v>
      </c>
      <c r="N131" s="336">
        <f t="shared" si="40"/>
        <v>12</v>
      </c>
      <c r="O131" s="336">
        <f t="shared" si="40"/>
        <v>13</v>
      </c>
      <c r="P131" s="336">
        <f t="shared" si="40"/>
        <v>14</v>
      </c>
      <c r="Q131" s="336">
        <f t="shared" si="40"/>
        <v>15</v>
      </c>
      <c r="R131" s="336">
        <f t="shared" si="40"/>
        <v>16</v>
      </c>
      <c r="S131" s="336">
        <f t="shared" si="40"/>
        <v>17</v>
      </c>
      <c r="T131" s="336">
        <f t="shared" si="41"/>
        <v>18</v>
      </c>
      <c r="U131" s="336">
        <f t="shared" si="41"/>
        <v>19</v>
      </c>
      <c r="V131" s="336">
        <f t="shared" si="41"/>
        <v>20</v>
      </c>
      <c r="W131" s="336">
        <f t="shared" si="41"/>
        <v>21</v>
      </c>
      <c r="X131" s="336">
        <f t="shared" si="41"/>
        <v>22</v>
      </c>
      <c r="Y131" s="336">
        <f t="shared" si="41"/>
        <v>23</v>
      </c>
      <c r="Z131" s="336">
        <f t="shared" si="41"/>
        <v>24</v>
      </c>
      <c r="AA131" s="336">
        <f t="shared" si="41"/>
        <v>25</v>
      </c>
      <c r="AB131" s="336">
        <f t="shared" si="41"/>
        <v>26</v>
      </c>
      <c r="AC131" s="336">
        <f t="shared" si="41"/>
        <v>27</v>
      </c>
      <c r="AD131" s="336">
        <f t="shared" si="41"/>
        <v>28</v>
      </c>
      <c r="AE131" s="336">
        <f t="shared" si="41"/>
        <v>29</v>
      </c>
      <c r="AF131" s="336">
        <f t="shared" si="41"/>
        <v>30</v>
      </c>
      <c r="AG131" s="336">
        <f t="shared" si="41"/>
        <v>31</v>
      </c>
      <c r="AH131" s="223"/>
      <c r="AI131" s="223"/>
      <c r="AJ131" s="223"/>
      <c r="AK131" s="223"/>
      <c r="AL131" s="223"/>
      <c r="AM131" s="223"/>
      <c r="AN131" s="223"/>
      <c r="AO131" s="223"/>
      <c r="AP131" s="223"/>
      <c r="AQ131" s="223"/>
      <c r="AR131" s="223"/>
      <c r="AS131" s="223"/>
      <c r="AT131" s="223"/>
      <c r="AU131" s="223"/>
      <c r="AV131" s="223"/>
    </row>
    <row r="132" spans="1:48" ht="15" hidden="1" x14ac:dyDescent="0.2">
      <c r="A132" s="225"/>
      <c r="B132" s="337">
        <f>AVERAGE(A131:B131)</f>
        <v>0</v>
      </c>
      <c r="C132" s="337">
        <f>AVERAGE(B131:C131)</f>
        <v>0.5</v>
      </c>
      <c r="D132" s="337">
        <f>AVERAGE(C131:D131)</f>
        <v>1.5</v>
      </c>
      <c r="E132" s="337">
        <f>AVERAGE(D131:E131)</f>
        <v>2.5</v>
      </c>
      <c r="F132" s="337">
        <f t="shared" ref="F132:AG132" si="42">AVERAGE(E131:F131)</f>
        <v>3.5</v>
      </c>
      <c r="G132" s="337">
        <f t="shared" si="42"/>
        <v>4.5</v>
      </c>
      <c r="H132" s="337">
        <f t="shared" si="42"/>
        <v>5.5</v>
      </c>
      <c r="I132" s="337">
        <f t="shared" si="42"/>
        <v>6.5</v>
      </c>
      <c r="J132" s="337">
        <f t="shared" si="42"/>
        <v>7.5</v>
      </c>
      <c r="K132" s="337">
        <f t="shared" si="42"/>
        <v>8.5</v>
      </c>
      <c r="L132" s="337">
        <f t="shared" si="42"/>
        <v>9.5</v>
      </c>
      <c r="M132" s="337">
        <f t="shared" si="42"/>
        <v>10.5</v>
      </c>
      <c r="N132" s="337">
        <f t="shared" si="42"/>
        <v>11.5</v>
      </c>
      <c r="O132" s="337">
        <f t="shared" si="42"/>
        <v>12.5</v>
      </c>
      <c r="P132" s="337">
        <f t="shared" si="42"/>
        <v>13.5</v>
      </c>
      <c r="Q132" s="337">
        <f t="shared" si="42"/>
        <v>14.5</v>
      </c>
      <c r="R132" s="337">
        <f t="shared" si="42"/>
        <v>15.5</v>
      </c>
      <c r="S132" s="337">
        <f t="shared" si="42"/>
        <v>16.5</v>
      </c>
      <c r="T132" s="337">
        <f t="shared" si="42"/>
        <v>17.5</v>
      </c>
      <c r="U132" s="337">
        <f t="shared" si="42"/>
        <v>18.5</v>
      </c>
      <c r="V132" s="337">
        <f t="shared" si="42"/>
        <v>19.5</v>
      </c>
      <c r="W132" s="337">
        <f t="shared" si="42"/>
        <v>20.5</v>
      </c>
      <c r="X132" s="337">
        <f t="shared" si="42"/>
        <v>21.5</v>
      </c>
      <c r="Y132" s="337">
        <f t="shared" si="42"/>
        <v>22.5</v>
      </c>
      <c r="Z132" s="337">
        <f t="shared" si="42"/>
        <v>23.5</v>
      </c>
      <c r="AA132" s="337">
        <f t="shared" si="42"/>
        <v>24.5</v>
      </c>
      <c r="AB132" s="337">
        <f t="shared" si="42"/>
        <v>25.5</v>
      </c>
      <c r="AC132" s="337">
        <f t="shared" si="42"/>
        <v>26.5</v>
      </c>
      <c r="AD132" s="337">
        <f t="shared" si="42"/>
        <v>27.5</v>
      </c>
      <c r="AE132" s="337">
        <f t="shared" si="42"/>
        <v>28.5</v>
      </c>
      <c r="AF132" s="337">
        <f t="shared" si="42"/>
        <v>29.5</v>
      </c>
      <c r="AG132" s="337">
        <f t="shared" si="42"/>
        <v>30.5</v>
      </c>
      <c r="AH132" s="223"/>
      <c r="AI132" s="223"/>
      <c r="AJ132" s="223"/>
      <c r="AK132" s="223"/>
      <c r="AL132" s="223"/>
      <c r="AM132" s="223"/>
      <c r="AN132" s="223"/>
      <c r="AO132" s="223"/>
      <c r="AP132" s="223"/>
      <c r="AQ132" s="223"/>
      <c r="AR132" s="223"/>
      <c r="AS132" s="223"/>
      <c r="AT132" s="223"/>
      <c r="AU132" s="223"/>
      <c r="AV132" s="223"/>
    </row>
    <row r="133" spans="1:48" ht="12.75" x14ac:dyDescent="0.2">
      <c r="A133" s="225"/>
      <c r="B133" s="223"/>
      <c r="C133" s="223"/>
      <c r="D133" s="223"/>
      <c r="E133" s="223"/>
      <c r="F133" s="223"/>
      <c r="G133" s="223"/>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c r="AJ133" s="223"/>
      <c r="AK133" s="223"/>
      <c r="AL133" s="223"/>
      <c r="AM133" s="223"/>
      <c r="AN133" s="223"/>
      <c r="AO133" s="223"/>
      <c r="AP133" s="223"/>
      <c r="AQ133" s="223"/>
      <c r="AR133" s="223"/>
      <c r="AS133" s="223"/>
      <c r="AT133" s="223"/>
      <c r="AU133" s="223"/>
      <c r="AV133" s="223"/>
    </row>
    <row r="134" spans="1:48" ht="12.75" x14ac:dyDescent="0.2">
      <c r="A134" s="225"/>
      <c r="B134" s="223"/>
      <c r="C134" s="223"/>
      <c r="D134" s="223"/>
      <c r="E134" s="223"/>
      <c r="F134" s="223"/>
      <c r="G134" s="223"/>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c r="AJ134" s="223"/>
      <c r="AK134" s="223"/>
      <c r="AL134" s="223"/>
      <c r="AM134" s="223"/>
      <c r="AN134" s="223"/>
      <c r="AO134" s="223"/>
      <c r="AP134" s="223"/>
      <c r="AQ134" s="223"/>
      <c r="AR134" s="223"/>
      <c r="AS134" s="223"/>
      <c r="AT134" s="223"/>
      <c r="AU134" s="223"/>
      <c r="AV134" s="223"/>
    </row>
    <row r="135" spans="1:48" ht="12.75" x14ac:dyDescent="0.2">
      <c r="A135" s="225"/>
      <c r="B135" s="223"/>
      <c r="C135" s="223"/>
      <c r="D135" s="223"/>
      <c r="E135" s="223"/>
      <c r="F135" s="223"/>
      <c r="G135" s="223"/>
      <c r="H135" s="223"/>
      <c r="I135" s="223"/>
      <c r="J135" s="223"/>
      <c r="K135" s="223"/>
      <c r="L135" s="223"/>
      <c r="M135" s="223"/>
      <c r="N135" s="223"/>
      <c r="O135" s="223"/>
      <c r="P135" s="223"/>
      <c r="Q135" s="223"/>
      <c r="R135" s="223"/>
      <c r="S135" s="223"/>
      <c r="T135" s="223"/>
      <c r="U135" s="223"/>
      <c r="V135" s="223"/>
      <c r="W135" s="223"/>
      <c r="X135" s="223"/>
      <c r="Y135" s="223"/>
      <c r="Z135" s="223"/>
      <c r="AA135" s="223"/>
      <c r="AB135" s="223"/>
      <c r="AC135" s="223"/>
      <c r="AD135" s="223"/>
      <c r="AE135" s="223"/>
      <c r="AF135" s="223"/>
      <c r="AG135" s="223"/>
      <c r="AH135" s="223"/>
      <c r="AI135" s="223"/>
      <c r="AJ135" s="223"/>
      <c r="AK135" s="223"/>
      <c r="AL135" s="223"/>
      <c r="AM135" s="223"/>
      <c r="AN135" s="223"/>
      <c r="AO135" s="223"/>
      <c r="AP135" s="223"/>
      <c r="AQ135" s="223"/>
      <c r="AR135" s="223"/>
      <c r="AS135" s="223"/>
      <c r="AT135" s="223"/>
      <c r="AU135" s="223"/>
      <c r="AV135" s="223"/>
    </row>
    <row r="136" spans="1:48" ht="12.75" x14ac:dyDescent="0.2">
      <c r="A136" s="225"/>
      <c r="B136" s="223"/>
      <c r="C136" s="223"/>
      <c r="D136" s="223"/>
      <c r="E136" s="223"/>
      <c r="F136" s="223"/>
      <c r="G136" s="223"/>
      <c r="H136" s="223"/>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row>
    <row r="137" spans="1:48" ht="12.75" x14ac:dyDescent="0.2">
      <c r="A137" s="225"/>
      <c r="B137" s="223"/>
      <c r="C137" s="223"/>
      <c r="D137" s="223"/>
      <c r="E137" s="223"/>
      <c r="F137" s="223"/>
      <c r="G137" s="223"/>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c r="AJ137" s="223"/>
      <c r="AK137" s="223"/>
      <c r="AL137" s="223"/>
      <c r="AM137" s="223"/>
      <c r="AN137" s="223"/>
      <c r="AO137" s="223"/>
      <c r="AP137" s="223"/>
      <c r="AQ137" s="223"/>
      <c r="AR137" s="223"/>
      <c r="AS137" s="223"/>
      <c r="AT137" s="223"/>
      <c r="AU137" s="223"/>
      <c r="AV137" s="223"/>
    </row>
    <row r="138" spans="1:48" ht="12.75" x14ac:dyDescent="0.2">
      <c r="A138" s="225"/>
      <c r="B138" s="223"/>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c r="AN138" s="223"/>
      <c r="AO138" s="223"/>
      <c r="AP138" s="223"/>
      <c r="AQ138" s="223"/>
      <c r="AR138" s="223"/>
      <c r="AS138" s="223"/>
      <c r="AT138" s="223"/>
      <c r="AU138" s="223"/>
      <c r="AV138" s="223"/>
    </row>
    <row r="139" spans="1:48" ht="12.75" x14ac:dyDescent="0.2">
      <c r="A139" s="225"/>
      <c r="B139" s="223"/>
      <c r="C139" s="223"/>
      <c r="D139" s="223"/>
      <c r="E139" s="223"/>
      <c r="F139" s="223"/>
      <c r="G139" s="223"/>
      <c r="H139" s="223"/>
      <c r="I139" s="223"/>
      <c r="J139" s="223"/>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row>
    <row r="140" spans="1:48" ht="12.75" x14ac:dyDescent="0.2">
      <c r="A140" s="225"/>
      <c r="B140" s="223"/>
      <c r="C140" s="223"/>
      <c r="D140" s="223"/>
      <c r="E140" s="223"/>
      <c r="F140" s="223"/>
      <c r="G140" s="223"/>
      <c r="H140" s="223"/>
      <c r="I140" s="223"/>
      <c r="J140" s="223"/>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row>
    <row r="141" spans="1:48" ht="12.75" x14ac:dyDescent="0.2">
      <c r="A141" s="225"/>
      <c r="B141" s="223"/>
      <c r="C141" s="223"/>
      <c r="D141" s="223"/>
      <c r="E141" s="223"/>
      <c r="F141" s="223"/>
      <c r="G141" s="223"/>
      <c r="H141" s="223"/>
      <c r="I141" s="223"/>
      <c r="J141" s="223"/>
      <c r="K141" s="223"/>
      <c r="L141" s="223"/>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row>
    <row r="142" spans="1:48" ht="12.75" x14ac:dyDescent="0.2">
      <c r="A142" s="225"/>
      <c r="B142" s="223"/>
      <c r="C142" s="223"/>
      <c r="D142" s="223"/>
      <c r="E142" s="223"/>
      <c r="F142" s="223"/>
      <c r="G142" s="223"/>
      <c r="H142" s="223"/>
      <c r="I142" s="223"/>
      <c r="J142" s="223"/>
      <c r="K142" s="223"/>
      <c r="L142" s="223"/>
      <c r="M142" s="223"/>
      <c r="N142" s="223"/>
      <c r="O142" s="223"/>
      <c r="P142" s="223"/>
      <c r="Q142" s="223"/>
      <c r="R142" s="223"/>
      <c r="S142" s="223"/>
      <c r="T142" s="223"/>
      <c r="U142" s="223"/>
      <c r="V142" s="223"/>
      <c r="W142" s="223"/>
      <c r="X142" s="223"/>
      <c r="Y142" s="223"/>
      <c r="Z142" s="223"/>
      <c r="AA142" s="223"/>
      <c r="AB142" s="223"/>
      <c r="AC142" s="223"/>
      <c r="AD142" s="223"/>
      <c r="AE142" s="223"/>
      <c r="AF142" s="223"/>
      <c r="AG142" s="223"/>
      <c r="AH142" s="223"/>
      <c r="AI142" s="223"/>
      <c r="AJ142" s="223"/>
      <c r="AK142" s="223"/>
      <c r="AL142" s="223"/>
      <c r="AM142" s="223"/>
      <c r="AN142" s="223"/>
      <c r="AO142" s="223"/>
      <c r="AP142" s="223"/>
      <c r="AQ142" s="223"/>
      <c r="AR142" s="223"/>
      <c r="AS142" s="223"/>
      <c r="AT142" s="223"/>
      <c r="AU142" s="223"/>
      <c r="AV142" s="223"/>
    </row>
    <row r="143" spans="1:48" ht="12.75" x14ac:dyDescent="0.2">
      <c r="A143" s="225"/>
      <c r="B143" s="223"/>
      <c r="C143" s="223"/>
      <c r="D143" s="223"/>
      <c r="E143" s="223"/>
      <c r="F143" s="223"/>
      <c r="G143" s="223"/>
      <c r="H143" s="223"/>
      <c r="I143" s="223"/>
      <c r="J143" s="223"/>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row>
    <row r="144" spans="1:48" ht="12.75" x14ac:dyDescent="0.2">
      <c r="A144" s="225"/>
      <c r="B144" s="223"/>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row>
    <row r="145" spans="1:48" ht="12.75" x14ac:dyDescent="0.2">
      <c r="A145" s="225"/>
      <c r="B145" s="223"/>
      <c r="C145" s="223"/>
      <c r="D145" s="223"/>
      <c r="E145" s="223"/>
      <c r="F145" s="223"/>
      <c r="G145" s="223"/>
      <c r="H145" s="223"/>
      <c r="I145" s="223"/>
      <c r="J145" s="223"/>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row>
    <row r="146" spans="1:48" ht="12.75" x14ac:dyDescent="0.2">
      <c r="A146" s="225"/>
      <c r="B146" s="223"/>
      <c r="C146" s="223"/>
      <c r="D146" s="223"/>
      <c r="E146" s="223"/>
      <c r="F146" s="223"/>
      <c r="G146" s="223"/>
      <c r="H146" s="223"/>
      <c r="I146" s="223"/>
      <c r="J146" s="223"/>
      <c r="K146" s="223"/>
      <c r="L146" s="223"/>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row>
    <row r="147" spans="1:48" ht="12.75" x14ac:dyDescent="0.2">
      <c r="A147" s="224"/>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c r="AA147" s="222"/>
      <c r="AB147" s="222"/>
      <c r="AC147" s="222"/>
      <c r="AD147" s="222"/>
      <c r="AE147" s="222"/>
      <c r="AF147" s="222"/>
      <c r="AG147" s="222"/>
      <c r="AH147" s="222"/>
      <c r="AI147" s="222"/>
      <c r="AJ147" s="222"/>
      <c r="AK147" s="222"/>
      <c r="AL147" s="222"/>
      <c r="AM147" s="222"/>
      <c r="AN147" s="222"/>
      <c r="AO147" s="222"/>
      <c r="AP147" s="222"/>
      <c r="AQ147" s="222"/>
      <c r="AR147" s="222"/>
      <c r="AS147" s="222"/>
      <c r="AT147" s="222"/>
      <c r="AU147" s="222"/>
      <c r="AV147" s="222"/>
    </row>
    <row r="148" spans="1:48" ht="12.75" x14ac:dyDescent="0.2">
      <c r="A148" s="224"/>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c r="AA148" s="222"/>
      <c r="AB148" s="222"/>
      <c r="AC148" s="222"/>
      <c r="AD148" s="222"/>
      <c r="AE148" s="222"/>
      <c r="AF148" s="222"/>
      <c r="AG148" s="222"/>
      <c r="AH148" s="222"/>
      <c r="AI148" s="222"/>
      <c r="AJ148" s="222"/>
      <c r="AK148" s="222"/>
      <c r="AL148" s="222"/>
      <c r="AM148" s="222"/>
      <c r="AN148" s="222"/>
      <c r="AO148" s="222"/>
      <c r="AP148" s="222"/>
      <c r="AQ148" s="222"/>
      <c r="AR148" s="222"/>
      <c r="AS148" s="222"/>
      <c r="AT148" s="222"/>
      <c r="AU148" s="222"/>
      <c r="AV148" s="222"/>
    </row>
    <row r="149" spans="1:48" ht="12.75" x14ac:dyDescent="0.2">
      <c r="A149" s="224"/>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c r="AA149" s="222"/>
      <c r="AB149" s="222"/>
      <c r="AC149" s="222"/>
      <c r="AD149" s="222"/>
      <c r="AE149" s="222"/>
      <c r="AF149" s="222"/>
      <c r="AG149" s="222"/>
      <c r="AH149" s="222"/>
      <c r="AI149" s="222"/>
      <c r="AJ149" s="222"/>
      <c r="AK149" s="222"/>
      <c r="AL149" s="222"/>
      <c r="AM149" s="222"/>
      <c r="AN149" s="222"/>
      <c r="AO149" s="222"/>
      <c r="AP149" s="222"/>
      <c r="AQ149" s="222"/>
      <c r="AR149" s="222"/>
      <c r="AS149" s="222"/>
      <c r="AT149" s="222"/>
      <c r="AU149" s="222"/>
      <c r="AV149" s="222"/>
    </row>
    <row r="150" spans="1:48" ht="12.75" x14ac:dyDescent="0.2">
      <c r="A150" s="224"/>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row>
    <row r="151" spans="1:48" ht="12.75" x14ac:dyDescent="0.2">
      <c r="A151" s="224"/>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row>
    <row r="152" spans="1:48" ht="12.75" x14ac:dyDescent="0.2">
      <c r="A152" s="224"/>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row>
    <row r="153" spans="1:48" ht="12.75" x14ac:dyDescent="0.2">
      <c r="A153" s="224"/>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row>
    <row r="154" spans="1:48" ht="12.75" x14ac:dyDescent="0.2">
      <c r="A154" s="224"/>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row>
    <row r="155" spans="1:48" ht="12.75" x14ac:dyDescent="0.2">
      <c r="A155" s="224"/>
      <c r="B155" s="222"/>
      <c r="C155" s="222"/>
      <c r="D155" s="222"/>
      <c r="E155" s="222"/>
      <c r="F155" s="222"/>
      <c r="G155" s="222"/>
      <c r="H155" s="222"/>
      <c r="I155" s="222"/>
      <c r="J155" s="222"/>
      <c r="K155" s="222"/>
      <c r="L155" s="222"/>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row>
    <row r="156" spans="1:48" ht="12.75" x14ac:dyDescent="0.2">
      <c r="A156" s="224"/>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2"/>
      <c r="AR156" s="222"/>
      <c r="AS156" s="222"/>
      <c r="AT156" s="222"/>
      <c r="AU156" s="222"/>
      <c r="AV156" s="222"/>
    </row>
    <row r="157" spans="1:48" ht="12.75" x14ac:dyDescent="0.2">
      <c r="A157" s="224"/>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2"/>
      <c r="AR157" s="222"/>
      <c r="AS157" s="222"/>
      <c r="AT157" s="222"/>
      <c r="AU157" s="222"/>
      <c r="AV157" s="222"/>
    </row>
    <row r="158" spans="1:48" ht="12.75" x14ac:dyDescent="0.2">
      <c r="A158" s="224"/>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row>
    <row r="159" spans="1:48" ht="12.75" x14ac:dyDescent="0.2">
      <c r="A159" s="224"/>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row>
    <row r="160" spans="1:48" ht="12.75" x14ac:dyDescent="0.2">
      <c r="A160" s="224"/>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row>
    <row r="161" spans="1:48" ht="12.75" x14ac:dyDescent="0.2">
      <c r="A161" s="224"/>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row>
    <row r="162" spans="1:48" ht="12.75" x14ac:dyDescent="0.2">
      <c r="A162" s="224"/>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row>
    <row r="163" spans="1:48" ht="12.75" x14ac:dyDescent="0.2">
      <c r="A163" s="224"/>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row>
    <row r="164" spans="1:48" ht="12.75" x14ac:dyDescent="0.2">
      <c r="A164" s="224"/>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2"/>
      <c r="AR164" s="222"/>
      <c r="AS164" s="222"/>
      <c r="AT164" s="222"/>
      <c r="AU164" s="222"/>
      <c r="AV164" s="222"/>
    </row>
    <row r="165" spans="1:48" ht="12.75" x14ac:dyDescent="0.2">
      <c r="A165" s="224"/>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2"/>
      <c r="AR165" s="222"/>
      <c r="AS165" s="222"/>
      <c r="AT165" s="222"/>
      <c r="AU165" s="222"/>
      <c r="AV165" s="222"/>
    </row>
    <row r="166" spans="1:48" ht="12.75" x14ac:dyDescent="0.2">
      <c r="A166" s="224"/>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2"/>
      <c r="AR166" s="222"/>
      <c r="AS166" s="222"/>
      <c r="AT166" s="222"/>
      <c r="AU166" s="222"/>
      <c r="AV166" s="222"/>
    </row>
    <row r="167" spans="1:48" ht="12.75" x14ac:dyDescent="0.2">
      <c r="A167" s="224"/>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2"/>
      <c r="AR167" s="222"/>
      <c r="AS167" s="222"/>
      <c r="AT167" s="222"/>
      <c r="AU167" s="222"/>
      <c r="AV167" s="222"/>
    </row>
    <row r="168" spans="1:48" ht="12.75" x14ac:dyDescent="0.2">
      <c r="A168" s="224"/>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2"/>
      <c r="AR168" s="222"/>
      <c r="AS168" s="222"/>
      <c r="AT168" s="222"/>
      <c r="AU168" s="222"/>
      <c r="AV168" s="222"/>
    </row>
    <row r="169" spans="1:48" ht="12.75" x14ac:dyDescent="0.2">
      <c r="A169" s="224"/>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2"/>
      <c r="AR169" s="222"/>
      <c r="AS169" s="222"/>
      <c r="AT169" s="222"/>
      <c r="AU169" s="222"/>
      <c r="AV169" s="222"/>
    </row>
    <row r="170" spans="1:48" ht="12.75" x14ac:dyDescent="0.2">
      <c r="A170" s="224"/>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2"/>
      <c r="AR170" s="222"/>
      <c r="AS170" s="222"/>
      <c r="AT170" s="222"/>
      <c r="AU170" s="222"/>
      <c r="AV170" s="222"/>
    </row>
    <row r="171" spans="1:48" ht="12.75" x14ac:dyDescent="0.2">
      <c r="A171" s="224"/>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2"/>
      <c r="AR171" s="222"/>
      <c r="AS171" s="222"/>
      <c r="AT171" s="222"/>
      <c r="AU171" s="222"/>
      <c r="AV171" s="222"/>
    </row>
    <row r="172" spans="1:48" ht="12.75" x14ac:dyDescent="0.2">
      <c r="A172" s="224"/>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row>
    <row r="173" spans="1:48" ht="12.75" x14ac:dyDescent="0.2">
      <c r="A173" s="224"/>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2"/>
      <c r="AR173" s="222"/>
      <c r="AS173" s="222"/>
      <c r="AT173" s="222"/>
      <c r="AU173" s="222"/>
      <c r="AV173" s="222"/>
    </row>
    <row r="174" spans="1:48" ht="12.75" x14ac:dyDescent="0.2">
      <c r="A174" s="224"/>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2"/>
      <c r="AR174" s="222"/>
      <c r="AS174" s="222"/>
      <c r="AT174" s="222"/>
      <c r="AU174" s="222"/>
      <c r="AV174" s="222"/>
    </row>
    <row r="175" spans="1:48" ht="12.75" x14ac:dyDescent="0.2">
      <c r="A175" s="224"/>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2"/>
      <c r="AR175" s="222"/>
      <c r="AS175" s="222"/>
      <c r="AT175" s="222"/>
      <c r="AU175" s="222"/>
      <c r="AV175" s="222"/>
    </row>
    <row r="176" spans="1:48" ht="12.75" x14ac:dyDescent="0.2">
      <c r="A176" s="224"/>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2"/>
      <c r="AR176" s="222"/>
      <c r="AS176" s="222"/>
      <c r="AT176" s="222"/>
      <c r="AU176" s="222"/>
      <c r="AV176" s="222"/>
    </row>
    <row r="177" spans="1:48" ht="12.75" x14ac:dyDescent="0.2">
      <c r="A177" s="224"/>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2"/>
      <c r="AR177" s="222"/>
      <c r="AS177" s="222"/>
      <c r="AT177" s="222"/>
      <c r="AU177" s="222"/>
      <c r="AV177" s="222"/>
    </row>
    <row r="178" spans="1:48" ht="12.75" x14ac:dyDescent="0.2">
      <c r="A178" s="224"/>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2"/>
      <c r="AR178" s="222"/>
      <c r="AS178" s="222"/>
      <c r="AT178" s="222"/>
      <c r="AU178" s="222"/>
      <c r="AV178" s="222"/>
    </row>
    <row r="179" spans="1:48" ht="12.75" x14ac:dyDescent="0.2">
      <c r="A179" s="224"/>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2"/>
      <c r="AR179" s="222"/>
      <c r="AS179" s="222"/>
      <c r="AT179" s="222"/>
      <c r="AU179" s="222"/>
      <c r="AV179" s="222"/>
    </row>
    <row r="180" spans="1:48" ht="12.75" x14ac:dyDescent="0.2">
      <c r="A180" s="224"/>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row>
    <row r="181" spans="1:48" ht="12.75" x14ac:dyDescent="0.2">
      <c r="A181" s="224"/>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2"/>
      <c r="AR181" s="222"/>
      <c r="AS181" s="222"/>
      <c r="AT181" s="222"/>
      <c r="AU181" s="222"/>
      <c r="AV181" s="222"/>
    </row>
    <row r="182" spans="1:48" ht="12.75" x14ac:dyDescent="0.2">
      <c r="A182" s="224"/>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2"/>
      <c r="AR182" s="222"/>
      <c r="AS182" s="222"/>
      <c r="AT182" s="222"/>
      <c r="AU182" s="222"/>
      <c r="AV182" s="222"/>
    </row>
    <row r="183" spans="1:48" ht="12.75" x14ac:dyDescent="0.2">
      <c r="A183" s="224"/>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2"/>
      <c r="AR183" s="222"/>
      <c r="AS183" s="222"/>
      <c r="AT183" s="222"/>
      <c r="AU183" s="222"/>
      <c r="AV183" s="222"/>
    </row>
    <row r="184" spans="1:48" ht="12.75" x14ac:dyDescent="0.2">
      <c r="A184" s="224"/>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2"/>
      <c r="AR184" s="222"/>
      <c r="AS184" s="222"/>
      <c r="AT184" s="222"/>
      <c r="AU184" s="222"/>
      <c r="AV184" s="222"/>
    </row>
    <row r="185" spans="1:48" ht="12.75" x14ac:dyDescent="0.2">
      <c r="A185" s="224"/>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row>
    <row r="186" spans="1:48" ht="12.75" x14ac:dyDescent="0.2">
      <c r="A186" s="224"/>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2"/>
      <c r="AR186" s="222"/>
      <c r="AS186" s="222"/>
      <c r="AT186" s="222"/>
      <c r="AU186" s="222"/>
      <c r="AV186" s="222"/>
    </row>
    <row r="187" spans="1:48" ht="12.75" x14ac:dyDescent="0.2">
      <c r="A187" s="224"/>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2"/>
      <c r="AR187" s="222"/>
      <c r="AS187" s="222"/>
      <c r="AT187" s="222"/>
      <c r="AU187" s="222"/>
      <c r="AV187" s="222"/>
    </row>
    <row r="188" spans="1:48" ht="12.75" x14ac:dyDescent="0.2">
      <c r="A188" s="224"/>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2"/>
      <c r="AR188" s="222"/>
      <c r="AS188" s="222"/>
      <c r="AT188" s="222"/>
      <c r="AU188" s="222"/>
      <c r="AV188" s="222"/>
    </row>
    <row r="189" spans="1:48" ht="12.75" x14ac:dyDescent="0.2">
      <c r="A189" s="224"/>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2"/>
      <c r="AR189" s="222"/>
      <c r="AS189" s="222"/>
      <c r="AT189" s="222"/>
      <c r="AU189" s="222"/>
      <c r="AV189" s="222"/>
    </row>
    <row r="190" spans="1:48" ht="12.75" x14ac:dyDescent="0.2">
      <c r="A190" s="224"/>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2"/>
      <c r="AR190" s="222"/>
      <c r="AS190" s="222"/>
      <c r="AT190" s="222"/>
      <c r="AU190" s="222"/>
      <c r="AV190" s="222"/>
    </row>
    <row r="191" spans="1:48" ht="12.75" x14ac:dyDescent="0.2">
      <c r="A191" s="224"/>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2"/>
      <c r="AR191" s="222"/>
      <c r="AS191" s="222"/>
      <c r="AT191" s="222"/>
      <c r="AU191" s="222"/>
      <c r="AV191" s="222"/>
    </row>
    <row r="192" spans="1:48" ht="12.75" x14ac:dyDescent="0.2">
      <c r="A192" s="224"/>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2"/>
      <c r="AR192" s="222"/>
      <c r="AS192" s="222"/>
      <c r="AT192" s="222"/>
      <c r="AU192" s="222"/>
      <c r="AV192" s="222"/>
    </row>
    <row r="193" spans="1:48" ht="12.75" x14ac:dyDescent="0.2">
      <c r="A193" s="224"/>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row>
    <row r="194" spans="1:48" ht="12.75" x14ac:dyDescent="0.2">
      <c r="A194" s="224"/>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2"/>
      <c r="AR194" s="222"/>
      <c r="AS194" s="222"/>
      <c r="AT194" s="222"/>
      <c r="AU194" s="222"/>
      <c r="AV194" s="222"/>
    </row>
    <row r="195" spans="1:48" ht="12.75" x14ac:dyDescent="0.2">
      <c r="A195" s="224"/>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2"/>
      <c r="AR195" s="222"/>
      <c r="AS195" s="222"/>
      <c r="AT195" s="222"/>
      <c r="AU195" s="222"/>
      <c r="AV195" s="222"/>
    </row>
    <row r="196" spans="1:48" ht="12.75" x14ac:dyDescent="0.2">
      <c r="A196" s="224"/>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2"/>
      <c r="AR196" s="222"/>
      <c r="AS196" s="222"/>
      <c r="AT196" s="222"/>
      <c r="AU196" s="222"/>
      <c r="AV196" s="222"/>
    </row>
    <row r="197" spans="1:48" ht="12.75" x14ac:dyDescent="0.2">
      <c r="A197" s="224"/>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row>
    <row r="198" spans="1:48" ht="12.75" x14ac:dyDescent="0.2">
      <c r="A198" s="224"/>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2"/>
      <c r="AR198" s="222"/>
      <c r="AS198" s="222"/>
      <c r="AT198" s="222"/>
      <c r="AU198" s="222"/>
      <c r="AV198" s="222"/>
    </row>
    <row r="199" spans="1:48" ht="12.75" x14ac:dyDescent="0.2">
      <c r="A199" s="224"/>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2"/>
      <c r="AR199" s="222"/>
      <c r="AS199" s="222"/>
      <c r="AT199" s="222"/>
      <c r="AU199" s="222"/>
      <c r="AV199" s="22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70" zoomScaleSheetLayoutView="70" workbookViewId="0">
      <selection activeCell="L52" sqref="L52"/>
    </sheetView>
  </sheetViews>
  <sheetFormatPr defaultRowHeight="15.75" x14ac:dyDescent="0.25"/>
  <cols>
    <col min="1" max="1" width="9.140625" style="57"/>
    <col min="2" max="2" width="37.7109375" style="57" customWidth="1"/>
    <col min="3" max="6" width="16.5703125" style="57" customWidth="1"/>
    <col min="7" max="8" width="16.5703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92" t="str">
        <f>'2. паспорт  ТП'!A4:S4</f>
        <v>Год раскрытия информации: 2022 год</v>
      </c>
      <c r="B5" s="392"/>
      <c r="C5" s="392"/>
      <c r="D5" s="392"/>
      <c r="E5" s="392"/>
      <c r="F5" s="392"/>
      <c r="G5" s="392"/>
      <c r="H5" s="392"/>
      <c r="I5" s="392"/>
      <c r="J5" s="392"/>
      <c r="K5" s="392"/>
      <c r="L5" s="392"/>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401" t="s">
        <v>7</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4" x14ac:dyDescent="0.25">
      <c r="A10" s="406" t="s">
        <v>6</v>
      </c>
      <c r="B10" s="406"/>
      <c r="C10" s="406"/>
      <c r="D10" s="406"/>
      <c r="E10" s="406"/>
      <c r="F10" s="406"/>
      <c r="G10" s="406"/>
      <c r="H10" s="406"/>
      <c r="I10" s="406"/>
      <c r="J10" s="406"/>
      <c r="K10" s="406"/>
      <c r="L10" s="406"/>
    </row>
    <row r="11" spans="1:44" ht="18.75" x14ac:dyDescent="0.25">
      <c r="A11" s="401"/>
      <c r="B11" s="401"/>
      <c r="C11" s="401"/>
      <c r="D11" s="401"/>
      <c r="E11" s="401"/>
      <c r="F11" s="401"/>
      <c r="G11" s="401"/>
      <c r="H11" s="401"/>
      <c r="I11" s="401"/>
      <c r="J11" s="401"/>
      <c r="K11" s="401"/>
      <c r="L11" s="401"/>
    </row>
    <row r="12" spans="1:44" x14ac:dyDescent="0.25">
      <c r="A12" s="402" t="str">
        <f>'1. паспорт местоположение'!A12:C12</f>
        <v>K_18-1115</v>
      </c>
      <c r="B12" s="402"/>
      <c r="C12" s="402"/>
      <c r="D12" s="402"/>
      <c r="E12" s="402"/>
      <c r="F12" s="402"/>
      <c r="G12" s="402"/>
      <c r="H12" s="402"/>
      <c r="I12" s="402"/>
      <c r="J12" s="402"/>
      <c r="K12" s="402"/>
      <c r="L12" s="402"/>
    </row>
    <row r="13" spans="1:44" x14ac:dyDescent="0.25">
      <c r="A13" s="406" t="s">
        <v>5</v>
      </c>
      <c r="B13" s="406"/>
      <c r="C13" s="406"/>
      <c r="D13" s="406"/>
      <c r="E13" s="406"/>
      <c r="F13" s="406"/>
      <c r="G13" s="406"/>
      <c r="H13" s="406"/>
      <c r="I13" s="406"/>
      <c r="J13" s="406"/>
      <c r="K13" s="406"/>
      <c r="L13" s="406"/>
    </row>
    <row r="14" spans="1:44" ht="18.75" x14ac:dyDescent="0.25">
      <c r="A14" s="407"/>
      <c r="B14" s="407"/>
      <c r="C14" s="407"/>
      <c r="D14" s="407"/>
      <c r="E14" s="407"/>
      <c r="F14" s="407"/>
      <c r="G14" s="407"/>
      <c r="H14" s="407"/>
      <c r="I14" s="407"/>
      <c r="J14" s="407"/>
      <c r="K14" s="407"/>
      <c r="L14" s="407"/>
    </row>
    <row r="15" spans="1:44" x14ac:dyDescent="0.25">
      <c r="A15" s="402" t="str">
        <f>'1. паспорт местоположение'!A15</f>
        <v>Строительство КТП 10/0,4 кВ (новой), КЛ-10 кВ и КЛ-1 от КТП (новой) по ул. Портовая-Ленинский проспект, реконструкция ТП-775 (инв. № 5458635) в г. Калининграде</v>
      </c>
      <c r="B15" s="402"/>
      <c r="C15" s="402"/>
      <c r="D15" s="402"/>
      <c r="E15" s="402"/>
      <c r="F15" s="402"/>
      <c r="G15" s="402"/>
      <c r="H15" s="402"/>
      <c r="I15" s="402"/>
      <c r="J15" s="402"/>
      <c r="K15" s="402"/>
      <c r="L15" s="402"/>
    </row>
    <row r="16" spans="1:44" x14ac:dyDescent="0.25">
      <c r="A16" s="406" t="s">
        <v>4</v>
      </c>
      <c r="B16" s="406"/>
      <c r="C16" s="406"/>
      <c r="D16" s="406"/>
      <c r="E16" s="406"/>
      <c r="F16" s="406"/>
      <c r="G16" s="406"/>
      <c r="H16" s="406"/>
      <c r="I16" s="406"/>
      <c r="J16" s="406"/>
      <c r="K16" s="406"/>
      <c r="L16" s="406"/>
    </row>
    <row r="17" spans="1:12" ht="15.75" customHeight="1" x14ac:dyDescent="0.25">
      <c r="L17" s="92"/>
    </row>
    <row r="18" spans="1:12" x14ac:dyDescent="0.25">
      <c r="K18" s="91"/>
    </row>
    <row r="19" spans="1:12" ht="15.75" customHeight="1" x14ac:dyDescent="0.25">
      <c r="A19" s="479" t="s">
        <v>493</v>
      </c>
      <c r="B19" s="479"/>
      <c r="C19" s="479"/>
      <c r="D19" s="479"/>
      <c r="E19" s="479"/>
      <c r="F19" s="479"/>
      <c r="G19" s="479"/>
      <c r="H19" s="479"/>
      <c r="I19" s="479"/>
      <c r="J19" s="479"/>
      <c r="K19" s="479"/>
      <c r="L19" s="479"/>
    </row>
    <row r="20" spans="1:12" x14ac:dyDescent="0.25">
      <c r="A20" s="61"/>
      <c r="B20" s="61"/>
      <c r="C20" s="90"/>
      <c r="D20" s="90"/>
      <c r="E20" s="90"/>
      <c r="F20" s="90"/>
      <c r="G20" s="90"/>
      <c r="H20" s="90"/>
      <c r="I20" s="90"/>
      <c r="J20" s="90"/>
      <c r="K20" s="90"/>
      <c r="L20" s="90"/>
    </row>
    <row r="21" spans="1:12" ht="28.5" customHeight="1" x14ac:dyDescent="0.25">
      <c r="A21" s="469" t="s">
        <v>217</v>
      </c>
      <c r="B21" s="469" t="s">
        <v>216</v>
      </c>
      <c r="C21" s="475" t="s">
        <v>425</v>
      </c>
      <c r="D21" s="475"/>
      <c r="E21" s="475"/>
      <c r="F21" s="475"/>
      <c r="G21" s="475"/>
      <c r="H21" s="475"/>
      <c r="I21" s="470" t="s">
        <v>215</v>
      </c>
      <c r="J21" s="472" t="s">
        <v>427</v>
      </c>
      <c r="K21" s="469" t="s">
        <v>214</v>
      </c>
      <c r="L21" s="471" t="s">
        <v>426</v>
      </c>
    </row>
    <row r="22" spans="1:12" ht="58.5" customHeight="1" x14ac:dyDescent="0.25">
      <c r="A22" s="469"/>
      <c r="B22" s="469"/>
      <c r="C22" s="476" t="s">
        <v>2</v>
      </c>
      <c r="D22" s="476"/>
      <c r="E22" s="477" t="s">
        <v>631</v>
      </c>
      <c r="F22" s="478"/>
      <c r="G22" s="477" t="s">
        <v>637</v>
      </c>
      <c r="H22" s="478"/>
      <c r="I22" s="470"/>
      <c r="J22" s="473"/>
      <c r="K22" s="469"/>
      <c r="L22" s="471"/>
    </row>
    <row r="23" spans="1:12" ht="31.5" x14ac:dyDescent="0.25">
      <c r="A23" s="469"/>
      <c r="B23" s="469"/>
      <c r="C23" s="89" t="s">
        <v>213</v>
      </c>
      <c r="D23" s="89" t="s">
        <v>212</v>
      </c>
      <c r="E23" s="89" t="s">
        <v>213</v>
      </c>
      <c r="F23" s="89" t="s">
        <v>212</v>
      </c>
      <c r="G23" s="89" t="s">
        <v>213</v>
      </c>
      <c r="H23" s="89" t="s">
        <v>212</v>
      </c>
      <c r="I23" s="470"/>
      <c r="J23" s="474"/>
      <c r="K23" s="469"/>
      <c r="L23" s="471"/>
    </row>
    <row r="24" spans="1:12" x14ac:dyDescent="0.25">
      <c r="A24" s="68">
        <v>1</v>
      </c>
      <c r="B24" s="68">
        <v>2</v>
      </c>
      <c r="C24" s="89">
        <v>3</v>
      </c>
      <c r="D24" s="89">
        <v>4</v>
      </c>
      <c r="E24" s="89">
        <v>5</v>
      </c>
      <c r="F24" s="89">
        <v>6</v>
      </c>
      <c r="G24" s="89">
        <v>7</v>
      </c>
      <c r="H24" s="89">
        <v>8</v>
      </c>
      <c r="I24" s="89">
        <v>9</v>
      </c>
      <c r="J24" s="89">
        <v>10</v>
      </c>
      <c r="K24" s="89">
        <v>11</v>
      </c>
      <c r="L24" s="89">
        <v>12</v>
      </c>
    </row>
    <row r="25" spans="1:12" x14ac:dyDescent="0.25">
      <c r="A25" s="84">
        <v>1</v>
      </c>
      <c r="B25" s="85" t="s">
        <v>211</v>
      </c>
      <c r="C25" s="85"/>
      <c r="D25" s="87"/>
      <c r="E25" s="87"/>
      <c r="F25" s="87"/>
      <c r="G25" s="87"/>
      <c r="H25" s="87"/>
      <c r="I25" s="87"/>
      <c r="J25" s="87"/>
      <c r="K25" s="82"/>
      <c r="L25" s="101"/>
    </row>
    <row r="26" spans="1:12" ht="21.75" customHeight="1" x14ac:dyDescent="0.25">
      <c r="A26" s="84" t="s">
        <v>210</v>
      </c>
      <c r="B26" s="88" t="s">
        <v>432</v>
      </c>
      <c r="C26" s="325" t="s">
        <v>632</v>
      </c>
      <c r="D26" s="326" t="s">
        <v>632</v>
      </c>
      <c r="E26" s="323"/>
      <c r="F26" s="322">
        <v>43397</v>
      </c>
      <c r="G26" s="323"/>
      <c r="H26" s="322">
        <v>42383</v>
      </c>
      <c r="I26" s="323">
        <v>100</v>
      </c>
      <c r="J26" s="323"/>
      <c r="K26" s="82"/>
      <c r="L26" s="82"/>
    </row>
    <row r="27" spans="1:12" s="64" customFormat="1" ht="39" customHeight="1" x14ac:dyDescent="0.25">
      <c r="A27" s="84" t="s">
        <v>209</v>
      </c>
      <c r="B27" s="88" t="s">
        <v>434</v>
      </c>
      <c r="C27" s="325" t="s">
        <v>632</v>
      </c>
      <c r="D27" s="326" t="s">
        <v>632</v>
      </c>
      <c r="E27" s="323" t="s">
        <v>529</v>
      </c>
      <c r="F27" s="323" t="s">
        <v>529</v>
      </c>
      <c r="G27" s="323" t="s">
        <v>529</v>
      </c>
      <c r="H27" s="323" t="s">
        <v>529</v>
      </c>
      <c r="I27" s="323"/>
      <c r="J27" s="323"/>
      <c r="K27" s="82"/>
      <c r="L27" s="82"/>
    </row>
    <row r="28" spans="1:12" s="64" customFormat="1" ht="70.5" customHeight="1" x14ac:dyDescent="0.25">
      <c r="A28" s="84" t="s">
        <v>433</v>
      </c>
      <c r="B28" s="88" t="s">
        <v>438</v>
      </c>
      <c r="C28" s="325" t="s">
        <v>632</v>
      </c>
      <c r="D28" s="326" t="s">
        <v>632</v>
      </c>
      <c r="E28" s="323" t="s">
        <v>529</v>
      </c>
      <c r="F28" s="323" t="s">
        <v>529</v>
      </c>
      <c r="G28" s="323" t="s">
        <v>529</v>
      </c>
      <c r="H28" s="323" t="s">
        <v>529</v>
      </c>
      <c r="I28" s="323"/>
      <c r="J28" s="323"/>
      <c r="K28" s="82"/>
      <c r="L28" s="82"/>
    </row>
    <row r="29" spans="1:12" s="64" customFormat="1" ht="54" customHeight="1" x14ac:dyDescent="0.25">
      <c r="A29" s="84" t="s">
        <v>208</v>
      </c>
      <c r="B29" s="88" t="s">
        <v>437</v>
      </c>
      <c r="C29" s="325" t="s">
        <v>632</v>
      </c>
      <c r="D29" s="326" t="s">
        <v>632</v>
      </c>
      <c r="E29" s="323" t="s">
        <v>529</v>
      </c>
      <c r="F29" s="323" t="s">
        <v>529</v>
      </c>
      <c r="G29" s="323" t="s">
        <v>529</v>
      </c>
      <c r="H29" s="323" t="s">
        <v>529</v>
      </c>
      <c r="I29" s="323"/>
      <c r="J29" s="323"/>
      <c r="K29" s="82"/>
      <c r="L29" s="82"/>
    </row>
    <row r="30" spans="1:12" s="64" customFormat="1" ht="42" customHeight="1" x14ac:dyDescent="0.25">
      <c r="A30" s="84" t="s">
        <v>207</v>
      </c>
      <c r="B30" s="88" t="s">
        <v>439</v>
      </c>
      <c r="C30" s="325" t="s">
        <v>632</v>
      </c>
      <c r="D30" s="326" t="s">
        <v>632</v>
      </c>
      <c r="E30" s="323" t="s">
        <v>529</v>
      </c>
      <c r="F30" s="323" t="s">
        <v>529</v>
      </c>
      <c r="G30" s="323" t="s">
        <v>529</v>
      </c>
      <c r="H30" s="323" t="s">
        <v>529</v>
      </c>
      <c r="I30" s="323"/>
      <c r="J30" s="323"/>
      <c r="K30" s="82"/>
      <c r="L30" s="82"/>
    </row>
    <row r="31" spans="1:12" s="64" customFormat="1" ht="37.5" customHeight="1" x14ac:dyDescent="0.25">
      <c r="A31" s="84" t="s">
        <v>206</v>
      </c>
      <c r="B31" s="83" t="s">
        <v>435</v>
      </c>
      <c r="C31" s="325" t="s">
        <v>632</v>
      </c>
      <c r="D31" s="326" t="s">
        <v>632</v>
      </c>
      <c r="E31" s="322">
        <v>43616</v>
      </c>
      <c r="F31" s="322">
        <v>43616</v>
      </c>
      <c r="G31" s="323"/>
      <c r="H31" s="323"/>
      <c r="I31" s="323">
        <v>100</v>
      </c>
      <c r="J31" s="323"/>
      <c r="K31" s="82"/>
      <c r="L31" s="82"/>
    </row>
    <row r="32" spans="1:12" s="64" customFormat="1" ht="31.5" x14ac:dyDescent="0.25">
      <c r="A32" s="84" t="s">
        <v>204</v>
      </c>
      <c r="B32" s="83" t="s">
        <v>440</v>
      </c>
      <c r="C32" s="325" t="s">
        <v>632</v>
      </c>
      <c r="D32" s="326" t="s">
        <v>632</v>
      </c>
      <c r="E32" s="322">
        <v>44039</v>
      </c>
      <c r="F32" s="322">
        <v>44039</v>
      </c>
      <c r="G32" s="323"/>
      <c r="H32" s="323"/>
      <c r="I32" s="323">
        <v>100</v>
      </c>
      <c r="J32" s="323"/>
      <c r="K32" s="82"/>
      <c r="L32" s="82"/>
    </row>
    <row r="33" spans="1:12" s="64" customFormat="1" ht="37.5" customHeight="1" x14ac:dyDescent="0.25">
      <c r="A33" s="84" t="s">
        <v>451</v>
      </c>
      <c r="B33" s="83" t="s">
        <v>368</v>
      </c>
      <c r="C33" s="325" t="s">
        <v>632</v>
      </c>
      <c r="D33" s="326" t="s">
        <v>632</v>
      </c>
      <c r="E33" s="323" t="s">
        <v>529</v>
      </c>
      <c r="F33" s="323" t="s">
        <v>529</v>
      </c>
      <c r="G33" s="323"/>
      <c r="H33" s="323"/>
      <c r="I33" s="323"/>
      <c r="J33" s="323"/>
      <c r="K33" s="82"/>
      <c r="L33" s="82"/>
    </row>
    <row r="34" spans="1:12" s="64" customFormat="1" ht="47.25" customHeight="1" x14ac:dyDescent="0.25">
      <c r="A34" s="84" t="s">
        <v>452</v>
      </c>
      <c r="B34" s="83" t="s">
        <v>444</v>
      </c>
      <c r="C34" s="325" t="s">
        <v>632</v>
      </c>
      <c r="D34" s="326" t="s">
        <v>632</v>
      </c>
      <c r="E34" s="323" t="s">
        <v>529</v>
      </c>
      <c r="F34" s="323" t="s">
        <v>529</v>
      </c>
      <c r="G34" s="323"/>
      <c r="H34" s="323"/>
      <c r="I34" s="323"/>
      <c r="J34" s="323"/>
      <c r="K34" s="86"/>
      <c r="L34" s="82"/>
    </row>
    <row r="35" spans="1:12" s="64" customFormat="1" ht="49.5" customHeight="1" x14ac:dyDescent="0.25">
      <c r="A35" s="84" t="s">
        <v>453</v>
      </c>
      <c r="B35" s="83" t="s">
        <v>205</v>
      </c>
      <c r="C35" s="325" t="s">
        <v>632</v>
      </c>
      <c r="D35" s="326" t="s">
        <v>632</v>
      </c>
      <c r="E35" s="322">
        <v>44039</v>
      </c>
      <c r="F35" s="322">
        <v>44039</v>
      </c>
      <c r="G35" s="323"/>
      <c r="H35" s="323"/>
      <c r="I35" s="323">
        <v>100</v>
      </c>
      <c r="J35" s="323"/>
      <c r="K35" s="86"/>
      <c r="L35" s="82"/>
    </row>
    <row r="36" spans="1:12" ht="37.5" customHeight="1" x14ac:dyDescent="0.25">
      <c r="A36" s="84" t="s">
        <v>454</v>
      </c>
      <c r="B36" s="83" t="s">
        <v>436</v>
      </c>
      <c r="C36" s="325" t="s">
        <v>632</v>
      </c>
      <c r="D36" s="327" t="s">
        <v>632</v>
      </c>
      <c r="E36" s="323" t="s">
        <v>529</v>
      </c>
      <c r="F36" s="323" t="s">
        <v>529</v>
      </c>
      <c r="G36" s="323"/>
      <c r="H36" s="323"/>
      <c r="I36" s="323"/>
      <c r="J36" s="323"/>
      <c r="K36" s="82"/>
      <c r="L36" s="82"/>
    </row>
    <row r="37" spans="1:12" x14ac:dyDescent="0.25">
      <c r="A37" s="84" t="s">
        <v>455</v>
      </c>
      <c r="B37" s="83" t="s">
        <v>203</v>
      </c>
      <c r="C37" s="325" t="s">
        <v>632</v>
      </c>
      <c r="D37" s="327" t="s">
        <v>632</v>
      </c>
      <c r="E37" s="322">
        <v>44039</v>
      </c>
      <c r="F37" s="322">
        <v>44039</v>
      </c>
      <c r="G37" s="323"/>
      <c r="H37" s="323"/>
      <c r="I37" s="323">
        <v>100</v>
      </c>
      <c r="J37" s="323"/>
      <c r="K37" s="82"/>
      <c r="L37" s="82"/>
    </row>
    <row r="38" spans="1:12" x14ac:dyDescent="0.25">
      <c r="A38" s="84" t="s">
        <v>456</v>
      </c>
      <c r="B38" s="85" t="s">
        <v>202</v>
      </c>
      <c r="C38" s="325" t="s">
        <v>632</v>
      </c>
      <c r="D38" s="327" t="s">
        <v>632</v>
      </c>
      <c r="E38" s="324"/>
      <c r="F38" s="324"/>
      <c r="G38" s="324"/>
      <c r="H38" s="324"/>
      <c r="I38" s="324"/>
      <c r="J38" s="324"/>
      <c r="K38" s="82"/>
      <c r="L38" s="82"/>
    </row>
    <row r="39" spans="1:12" ht="63" x14ac:dyDescent="0.25">
      <c r="A39" s="84">
        <v>2</v>
      </c>
      <c r="B39" s="83" t="s">
        <v>441</v>
      </c>
      <c r="C39" s="325" t="s">
        <v>632</v>
      </c>
      <c r="D39" s="327" t="s">
        <v>632</v>
      </c>
      <c r="E39" s="322">
        <v>44280</v>
      </c>
      <c r="F39" s="322">
        <v>44280</v>
      </c>
      <c r="G39" s="324"/>
      <c r="H39" s="324"/>
      <c r="I39" s="323">
        <v>100</v>
      </c>
      <c r="J39" s="323"/>
      <c r="K39" s="82"/>
      <c r="L39" s="82"/>
    </row>
    <row r="40" spans="1:12" ht="33.75" customHeight="1" x14ac:dyDescent="0.25">
      <c r="A40" s="84" t="s">
        <v>201</v>
      </c>
      <c r="B40" s="83" t="s">
        <v>443</v>
      </c>
      <c r="C40" s="325" t="s">
        <v>632</v>
      </c>
      <c r="D40" s="327" t="s">
        <v>632</v>
      </c>
      <c r="E40" s="323" t="s">
        <v>529</v>
      </c>
      <c r="F40" s="323" t="s">
        <v>529</v>
      </c>
      <c r="G40" s="324"/>
      <c r="H40" s="324"/>
      <c r="I40" s="323"/>
      <c r="J40" s="324"/>
      <c r="K40" s="82"/>
      <c r="L40" s="82"/>
    </row>
    <row r="41" spans="1:12" ht="63" customHeight="1" x14ac:dyDescent="0.25">
      <c r="A41" s="84" t="s">
        <v>200</v>
      </c>
      <c r="B41" s="85" t="s">
        <v>524</v>
      </c>
      <c r="C41" s="325" t="s">
        <v>632</v>
      </c>
      <c r="D41" s="327" t="s">
        <v>632</v>
      </c>
      <c r="E41" s="324"/>
      <c r="F41" s="324"/>
      <c r="G41" s="324"/>
      <c r="H41" s="324"/>
      <c r="I41" s="324"/>
      <c r="J41" s="324"/>
      <c r="K41" s="82"/>
      <c r="L41" s="82"/>
    </row>
    <row r="42" spans="1:12" ht="58.5" customHeight="1" x14ac:dyDescent="0.25">
      <c r="A42" s="84">
        <v>3</v>
      </c>
      <c r="B42" s="83" t="s">
        <v>442</v>
      </c>
      <c r="C42" s="325" t="s">
        <v>632</v>
      </c>
      <c r="D42" s="327" t="s">
        <v>632</v>
      </c>
      <c r="E42" s="323" t="s">
        <v>529</v>
      </c>
      <c r="F42" s="323" t="s">
        <v>529</v>
      </c>
      <c r="G42" s="324"/>
      <c r="H42" s="324"/>
      <c r="I42" s="323"/>
      <c r="J42" s="324"/>
      <c r="K42" s="82"/>
      <c r="L42" s="82"/>
    </row>
    <row r="43" spans="1:12" ht="34.5" customHeight="1" x14ac:dyDescent="0.25">
      <c r="A43" s="84" t="s">
        <v>199</v>
      </c>
      <c r="B43" s="83" t="s">
        <v>197</v>
      </c>
      <c r="C43" s="325" t="s">
        <v>632</v>
      </c>
      <c r="D43" s="327" t="s">
        <v>632</v>
      </c>
      <c r="E43" s="323" t="s">
        <v>529</v>
      </c>
      <c r="F43" s="323" t="s">
        <v>529</v>
      </c>
      <c r="G43" s="324"/>
      <c r="H43" s="324"/>
      <c r="I43" s="323"/>
      <c r="J43" s="324"/>
      <c r="K43" s="82"/>
      <c r="L43" s="82"/>
    </row>
    <row r="44" spans="1:12" ht="24.75" customHeight="1" x14ac:dyDescent="0.25">
      <c r="A44" s="84" t="s">
        <v>198</v>
      </c>
      <c r="B44" s="83" t="s">
        <v>195</v>
      </c>
      <c r="C44" s="325" t="s">
        <v>632</v>
      </c>
      <c r="D44" s="327" t="s">
        <v>632</v>
      </c>
      <c r="E44" s="322">
        <v>44280</v>
      </c>
      <c r="F44" s="338">
        <v>44286</v>
      </c>
      <c r="G44" s="324"/>
      <c r="H44" s="324"/>
      <c r="I44" s="323">
        <v>100</v>
      </c>
      <c r="J44" s="323"/>
      <c r="K44" s="82"/>
      <c r="L44" s="82"/>
    </row>
    <row r="45" spans="1:12" ht="90.75" customHeight="1" x14ac:dyDescent="0.25">
      <c r="A45" s="84" t="s">
        <v>196</v>
      </c>
      <c r="B45" s="83" t="s">
        <v>447</v>
      </c>
      <c r="C45" s="325" t="s">
        <v>632</v>
      </c>
      <c r="D45" s="327" t="s">
        <v>632</v>
      </c>
      <c r="E45" s="323" t="s">
        <v>529</v>
      </c>
      <c r="F45" s="323" t="s">
        <v>529</v>
      </c>
      <c r="G45" s="323"/>
      <c r="H45" s="323"/>
      <c r="I45" s="323"/>
      <c r="J45" s="323"/>
      <c r="K45" s="82"/>
      <c r="L45" s="82"/>
    </row>
    <row r="46" spans="1:12" ht="167.25" customHeight="1" x14ac:dyDescent="0.25">
      <c r="A46" s="84" t="s">
        <v>194</v>
      </c>
      <c r="B46" s="83" t="s">
        <v>445</v>
      </c>
      <c r="C46" s="325" t="s">
        <v>632</v>
      </c>
      <c r="D46" s="327" t="s">
        <v>632</v>
      </c>
      <c r="E46" s="323" t="s">
        <v>529</v>
      </c>
      <c r="F46" s="323" t="s">
        <v>529</v>
      </c>
      <c r="G46" s="323"/>
      <c r="H46" s="323"/>
      <c r="I46" s="323"/>
      <c r="J46" s="323"/>
      <c r="K46" s="82"/>
      <c r="L46" s="82"/>
    </row>
    <row r="47" spans="1:12" ht="30.75" customHeight="1" x14ac:dyDescent="0.25">
      <c r="A47" s="84" t="s">
        <v>192</v>
      </c>
      <c r="B47" s="83" t="s">
        <v>193</v>
      </c>
      <c r="C47" s="325" t="s">
        <v>632</v>
      </c>
      <c r="D47" s="327" t="s">
        <v>632</v>
      </c>
      <c r="E47" s="338">
        <v>44267</v>
      </c>
      <c r="F47" s="338">
        <v>44269</v>
      </c>
      <c r="G47" s="324"/>
      <c r="H47" s="324"/>
      <c r="I47" s="323">
        <v>100</v>
      </c>
      <c r="J47" s="323"/>
      <c r="K47" s="82"/>
      <c r="L47" s="82"/>
    </row>
    <row r="48" spans="1:12" ht="37.5" customHeight="1" x14ac:dyDescent="0.25">
      <c r="A48" s="84" t="s">
        <v>457</v>
      </c>
      <c r="B48" s="85" t="s">
        <v>191</v>
      </c>
      <c r="C48" s="325" t="s">
        <v>632</v>
      </c>
      <c r="D48" s="327" t="s">
        <v>632</v>
      </c>
      <c r="E48" s="324"/>
      <c r="F48" s="324"/>
      <c r="G48" s="324"/>
      <c r="H48" s="324"/>
      <c r="I48" s="324"/>
      <c r="J48" s="324"/>
      <c r="K48" s="82"/>
      <c r="L48" s="82"/>
    </row>
    <row r="49" spans="1:12" ht="35.25" customHeight="1" x14ac:dyDescent="0.25">
      <c r="A49" s="84">
        <v>4</v>
      </c>
      <c r="B49" s="83" t="s">
        <v>189</v>
      </c>
      <c r="C49" s="325" t="s">
        <v>632</v>
      </c>
      <c r="D49" s="327" t="s">
        <v>632</v>
      </c>
      <c r="E49" s="338">
        <v>44267</v>
      </c>
      <c r="F49" s="338">
        <v>44269</v>
      </c>
      <c r="G49" s="324"/>
      <c r="H49" s="324"/>
      <c r="I49" s="323">
        <v>100</v>
      </c>
      <c r="J49" s="323"/>
      <c r="K49" s="82"/>
      <c r="L49" s="82"/>
    </row>
    <row r="50" spans="1:12" ht="86.25" customHeight="1" x14ac:dyDescent="0.25">
      <c r="A50" s="84" t="s">
        <v>190</v>
      </c>
      <c r="B50" s="83" t="s">
        <v>446</v>
      </c>
      <c r="C50" s="325" t="s">
        <v>632</v>
      </c>
      <c r="D50" s="327" t="s">
        <v>632</v>
      </c>
      <c r="E50" s="338">
        <v>44286</v>
      </c>
      <c r="F50" s="338">
        <v>44286</v>
      </c>
      <c r="G50" s="324"/>
      <c r="H50" s="324"/>
      <c r="I50" s="323">
        <v>100</v>
      </c>
      <c r="J50" s="323"/>
      <c r="K50" s="82"/>
      <c r="L50" s="82"/>
    </row>
    <row r="51" spans="1:12" ht="77.25" customHeight="1" x14ac:dyDescent="0.25">
      <c r="A51" s="84" t="s">
        <v>188</v>
      </c>
      <c r="B51" s="83" t="s">
        <v>448</v>
      </c>
      <c r="C51" s="325" t="s">
        <v>632</v>
      </c>
      <c r="D51" s="327" t="s">
        <v>632</v>
      </c>
      <c r="E51" s="323" t="s">
        <v>529</v>
      </c>
      <c r="F51" s="323" t="s">
        <v>529</v>
      </c>
      <c r="G51" s="324"/>
      <c r="H51" s="324"/>
      <c r="I51" s="324"/>
      <c r="J51" s="324"/>
      <c r="K51" s="82"/>
      <c r="L51" s="82"/>
    </row>
    <row r="52" spans="1:12" ht="71.25" customHeight="1" x14ac:dyDescent="0.25">
      <c r="A52" s="84" t="s">
        <v>186</v>
      </c>
      <c r="B52" s="83" t="s">
        <v>187</v>
      </c>
      <c r="C52" s="325" t="s">
        <v>632</v>
      </c>
      <c r="D52" s="327" t="s">
        <v>632</v>
      </c>
      <c r="E52" s="338"/>
      <c r="F52" s="338"/>
      <c r="G52" s="324"/>
      <c r="H52" s="324"/>
      <c r="I52" s="324"/>
      <c r="J52" s="324"/>
      <c r="K52" s="82"/>
      <c r="L52" s="82"/>
    </row>
    <row r="53" spans="1:12" ht="48" customHeight="1" x14ac:dyDescent="0.25">
      <c r="A53" s="84" t="s">
        <v>184</v>
      </c>
      <c r="B53" s="146" t="s">
        <v>449</v>
      </c>
      <c r="C53" s="325" t="s">
        <v>632</v>
      </c>
      <c r="D53" s="327" t="s">
        <v>632</v>
      </c>
      <c r="E53" s="338">
        <v>44286</v>
      </c>
      <c r="F53" s="338">
        <v>44286</v>
      </c>
      <c r="G53" s="324"/>
      <c r="H53" s="324"/>
      <c r="I53" s="323">
        <v>100</v>
      </c>
      <c r="J53" s="323"/>
      <c r="K53" s="82"/>
      <c r="L53" s="82"/>
    </row>
    <row r="54" spans="1:12" ht="46.5" customHeight="1" x14ac:dyDescent="0.25">
      <c r="A54" s="84" t="s">
        <v>450</v>
      </c>
      <c r="B54" s="83" t="s">
        <v>185</v>
      </c>
      <c r="C54" s="325" t="s">
        <v>632</v>
      </c>
      <c r="D54" s="327" t="s">
        <v>632</v>
      </c>
      <c r="E54" s="323" t="s">
        <v>529</v>
      </c>
      <c r="F54" s="323" t="s">
        <v>529</v>
      </c>
      <c r="G54" s="324"/>
      <c r="H54" s="324"/>
      <c r="I54" s="324"/>
      <c r="J54" s="324"/>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2022-02-09T15:25:13Z</dcterms:modified>
</cp:coreProperties>
</file>