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AI52" i="15" l="1"/>
  <c r="AF25" i="15"/>
  <c r="AG25" i="15"/>
  <c r="AF26" i="15"/>
  <c r="AG26" i="15"/>
  <c r="AF27" i="15"/>
  <c r="AG27" i="15"/>
  <c r="AF28" i="15"/>
  <c r="AG28" i="15"/>
  <c r="AF29" i="15"/>
  <c r="AG29" i="15"/>
  <c r="AF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AF24" i="15"/>
  <c r="AA30" i="15"/>
  <c r="Z30" i="15"/>
  <c r="Y30" i="15"/>
  <c r="X30" i="15"/>
  <c r="AA24" i="15"/>
  <c r="Z24" i="15"/>
  <c r="Y24" i="15"/>
  <c r="X24" i="15"/>
  <c r="X23" i="15"/>
  <c r="Y23" i="15" s="1"/>
  <c r="Z23" i="15" s="1"/>
  <c r="AA23" i="15" s="1"/>
  <c r="G30" i="15"/>
  <c r="G24" i="15"/>
  <c r="S30" i="15"/>
  <c r="R30" i="15"/>
  <c r="Q30" i="15"/>
  <c r="P30" i="15"/>
  <c r="O30" i="15"/>
  <c r="N30" i="15"/>
  <c r="M30" i="15"/>
  <c r="L30" i="15"/>
  <c r="J30" i="15"/>
  <c r="I30" i="15"/>
  <c r="H30" i="15"/>
  <c r="S24" i="15"/>
  <c r="R24" i="15"/>
  <c r="Q24" i="15"/>
  <c r="P24" i="15"/>
  <c r="O24" i="15"/>
  <c r="N24" i="15"/>
  <c r="M24" i="15"/>
  <c r="L24" i="15"/>
  <c r="K24" i="15"/>
  <c r="J24" i="15"/>
  <c r="I24" i="15"/>
  <c r="H24" i="15"/>
  <c r="L23" i="15"/>
  <c r="M23" i="15" s="1"/>
  <c r="N23" i="15" s="1"/>
  <c r="O23" i="15" s="1"/>
  <c r="P23" i="15" s="1"/>
  <c r="Q23" i="15" s="1"/>
  <c r="R23" i="15" s="1"/>
  <c r="S23" i="15" s="1"/>
  <c r="AD34" i="5" l="1"/>
  <c r="G29" i="5" l="1"/>
  <c r="G34" i="5" s="1"/>
  <c r="B54" i="53"/>
  <c r="AD29" i="5" l="1"/>
  <c r="AD41" i="5"/>
  <c r="B29" i="53" s="1"/>
  <c r="AD30" i="15"/>
  <c r="AE30" i="15"/>
  <c r="I119" i="57" l="1"/>
  <c r="D117" i="57"/>
  <c r="D118" i="57" s="1"/>
  <c r="A15" i="57"/>
  <c r="A12" i="57"/>
  <c r="A9" i="57"/>
  <c r="A5" i="57"/>
  <c r="D141" i="57"/>
  <c r="C141" i="57"/>
  <c r="B141" i="57"/>
  <c r="E140" i="57"/>
  <c r="K139" i="57"/>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H139" i="57"/>
  <c r="I139" i="57" s="1"/>
  <c r="J139" i="57" s="1"/>
  <c r="D139" i="57"/>
  <c r="E139" i="57" s="1"/>
  <c r="F139" i="57" s="1"/>
  <c r="G139" i="57" s="1"/>
  <c r="C139" i="57"/>
  <c r="E137" i="57"/>
  <c r="F137" i="57" s="1"/>
  <c r="D137" i="57"/>
  <c r="C137" i="57"/>
  <c r="H136" i="57"/>
  <c r="G136" i="57"/>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5" i="57" s="1"/>
  <c r="B54" i="57" s="1"/>
  <c r="B55" i="57" s="1"/>
  <c r="B56" i="57" s="1"/>
  <c r="B69" i="57" s="1"/>
  <c r="B77" i="57" s="1"/>
  <c r="G119" i="57"/>
  <c r="G118" i="57"/>
  <c r="G120" i="57" s="1"/>
  <c r="B118" i="57"/>
  <c r="B112" i="57"/>
  <c r="M107" i="57"/>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K107" i="57"/>
  <c r="L107" i="57" s="1"/>
  <c r="F107" i="57"/>
  <c r="G107" i="57" s="1"/>
  <c r="H107" i="57" s="1"/>
  <c r="I107" i="57" s="1"/>
  <c r="J107" i="57" s="1"/>
  <c r="E107" i="57"/>
  <c r="D107" i="57"/>
  <c r="E91" i="57"/>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D91" i="57" s="1"/>
  <c r="B76" i="57"/>
  <c r="B74" i="57"/>
  <c r="A62" i="57"/>
  <c r="B60" i="57"/>
  <c r="C58" i="57"/>
  <c r="C74" i="57" s="1"/>
  <c r="B52" i="57"/>
  <c r="B49" i="57"/>
  <c r="D48" i="57"/>
  <c r="C48" i="57"/>
  <c r="B48" i="57"/>
  <c r="B47" i="57"/>
  <c r="B45" i="57"/>
  <c r="B46" i="57" s="1"/>
  <c r="B44" i="57"/>
  <c r="B27" i="57"/>
  <c r="B81" i="57" l="1"/>
  <c r="B29" i="57"/>
  <c r="B50" i="57"/>
  <c r="B59" i="57" s="1"/>
  <c r="B79" i="57" s="1"/>
  <c r="C67" i="57"/>
  <c r="F76" i="57" s="1"/>
  <c r="I118" i="57"/>
  <c r="I120" i="57" s="1"/>
  <c r="C109" i="57" s="1"/>
  <c r="C76" i="57"/>
  <c r="AQ81" i="57"/>
  <c r="B66" i="57"/>
  <c r="B68" i="57" s="1"/>
  <c r="B82" i="57"/>
  <c r="C53" i="57"/>
  <c r="G137" i="57"/>
  <c r="C49" i="57"/>
  <c r="I136" i="57"/>
  <c r="E48" i="57"/>
  <c r="C47" i="57"/>
  <c r="C61" i="57" s="1"/>
  <c r="C60" i="57" s="1"/>
  <c r="C52" i="57"/>
  <c r="D58" i="57"/>
  <c r="F140" i="57"/>
  <c r="E141" i="57"/>
  <c r="B73" i="57" s="1"/>
  <c r="B85" i="57" s="1"/>
  <c r="B99" i="57" s="1"/>
  <c r="B50" i="53"/>
  <c r="B80" i="57" l="1"/>
  <c r="D67" i="57"/>
  <c r="D109" i="57"/>
  <c r="C108" i="57"/>
  <c r="C50" i="57" s="1"/>
  <c r="C59" i="57" s="1"/>
  <c r="J136" i="57"/>
  <c r="F48" i="57"/>
  <c r="E67" i="57"/>
  <c r="D76" i="57"/>
  <c r="F141" i="57"/>
  <c r="C73" i="57" s="1"/>
  <c r="C85" i="57" s="1"/>
  <c r="C99" i="57" s="1"/>
  <c r="G140" i="57"/>
  <c r="B75" i="57"/>
  <c r="B70" i="57"/>
  <c r="D74" i="57"/>
  <c r="D52" i="57"/>
  <c r="E58" i="57"/>
  <c r="D47" i="57"/>
  <c r="D61" i="57" s="1"/>
  <c r="D60" i="57" s="1"/>
  <c r="H137" i="57"/>
  <c r="D49" i="57"/>
  <c r="C55" i="57"/>
  <c r="D53" i="57"/>
  <c r="C66" i="57" l="1"/>
  <c r="C68" i="57" s="1"/>
  <c r="C80" i="57"/>
  <c r="C79" i="57"/>
  <c r="D79" i="57" s="1"/>
  <c r="E109" i="57"/>
  <c r="D108" i="57"/>
  <c r="D50" i="57" s="1"/>
  <c r="D59" i="57" s="1"/>
  <c r="D80" i="57" s="1"/>
  <c r="D55" i="57"/>
  <c r="E53" i="57"/>
  <c r="D66" i="57"/>
  <c r="D68" i="57" s="1"/>
  <c r="H141" i="57"/>
  <c r="E73" i="57" s="1"/>
  <c r="E85" i="57" s="1"/>
  <c r="E99" i="57" s="1"/>
  <c r="H140" i="57"/>
  <c r="E76" i="57"/>
  <c r="F67" i="57"/>
  <c r="C82" i="57"/>
  <c r="C56" i="57"/>
  <c r="C69" i="57" s="1"/>
  <c r="C77" i="57" s="1"/>
  <c r="E74" i="57"/>
  <c r="F58" i="57"/>
  <c r="E47" i="57"/>
  <c r="E52" i="57"/>
  <c r="B71" i="57"/>
  <c r="B72" i="57" s="1"/>
  <c r="C75" i="57"/>
  <c r="G141" i="57"/>
  <c r="D73" i="57" s="1"/>
  <c r="D85" i="57" s="1"/>
  <c r="D99" i="57" s="1"/>
  <c r="K136" i="57"/>
  <c r="G48" i="57"/>
  <c r="I137" i="57"/>
  <c r="E49" i="57"/>
  <c r="K29" i="5"/>
  <c r="K34" i="5" s="1"/>
  <c r="I26" i="5"/>
  <c r="I29" i="5" s="1"/>
  <c r="I34" i="5" s="1"/>
  <c r="C25" i="14"/>
  <c r="E108" i="57" l="1"/>
  <c r="F109" i="57"/>
  <c r="E50" i="57"/>
  <c r="E59" i="57" s="1"/>
  <c r="E80" i="57" s="1"/>
  <c r="E55" i="57"/>
  <c r="F53" i="57" s="1"/>
  <c r="C70" i="57"/>
  <c r="E61" i="57"/>
  <c r="E60" i="57" s="1"/>
  <c r="E66" i="57" s="1"/>
  <c r="E68" i="57" s="1"/>
  <c r="G67" i="57"/>
  <c r="D56" i="57"/>
  <c r="D69" i="57" s="1"/>
  <c r="D77" i="57" s="1"/>
  <c r="D82" i="57"/>
  <c r="J137" i="57"/>
  <c r="F49" i="57"/>
  <c r="L136" i="57"/>
  <c r="H48" i="57"/>
  <c r="B78" i="57"/>
  <c r="B83" i="57" s="1"/>
  <c r="G58" i="57"/>
  <c r="F52" i="57"/>
  <c r="F47" i="57"/>
  <c r="F74" i="57"/>
  <c r="D75" i="57"/>
  <c r="D70" i="57"/>
  <c r="I140" i="57"/>
  <c r="R26" i="14"/>
  <c r="C40" i="7" s="1"/>
  <c r="G109" i="57" l="1"/>
  <c r="F108" i="57"/>
  <c r="F50" i="57" s="1"/>
  <c r="F59" i="57" s="1"/>
  <c r="F80" i="57" s="1"/>
  <c r="E75" i="57"/>
  <c r="D71" i="57"/>
  <c r="D72" i="57" s="1"/>
  <c r="M136" i="57"/>
  <c r="I48" i="57"/>
  <c r="J140" i="57"/>
  <c r="G74" i="57"/>
  <c r="H58" i="57"/>
  <c r="G52" i="57"/>
  <c r="G47" i="57"/>
  <c r="C71" i="57"/>
  <c r="C72" i="57" s="1"/>
  <c r="I141" i="57"/>
  <c r="F73" i="57" s="1"/>
  <c r="F85" i="57" s="1"/>
  <c r="F99" i="57" s="1"/>
  <c r="B88" i="57"/>
  <c r="B84" i="57"/>
  <c r="B89" i="57" s="1"/>
  <c r="B86" i="57"/>
  <c r="K137" i="57"/>
  <c r="G49" i="57"/>
  <c r="G76" i="57"/>
  <c r="H67" i="57"/>
  <c r="F55" i="57"/>
  <c r="F61" i="57"/>
  <c r="F60" i="57" s="1"/>
  <c r="E56" i="57"/>
  <c r="E69" i="57" s="1"/>
  <c r="E77" i="57" s="1"/>
  <c r="E82" i="57"/>
  <c r="E79" i="57"/>
  <c r="S23" i="12"/>
  <c r="I23" i="12"/>
  <c r="J23" i="12"/>
  <c r="H23" i="12"/>
  <c r="C23" i="6" s="1"/>
  <c r="F66" i="57" l="1"/>
  <c r="F68" i="57" s="1"/>
  <c r="G108" i="57"/>
  <c r="H109" i="57"/>
  <c r="G50" i="57"/>
  <c r="G59" i="57" s="1"/>
  <c r="G80" i="57" s="1"/>
  <c r="F75" i="57"/>
  <c r="F82" i="57"/>
  <c r="F56" i="57"/>
  <c r="F69" i="57" s="1"/>
  <c r="F77" i="57" s="1"/>
  <c r="I58" i="57"/>
  <c r="H74" i="57"/>
  <c r="H52" i="57"/>
  <c r="H47" i="57"/>
  <c r="K140" i="57"/>
  <c r="N136" i="57"/>
  <c r="J48" i="57"/>
  <c r="G53" i="57"/>
  <c r="C78" i="57"/>
  <c r="C83" i="57" s="1"/>
  <c r="H49" i="57"/>
  <c r="L137" i="57"/>
  <c r="G61" i="57"/>
  <c r="G60" i="57" s="1"/>
  <c r="F79" i="57"/>
  <c r="I67" i="57"/>
  <c r="H76" i="57"/>
  <c r="B87" i="57"/>
  <c r="B90" i="57" s="1"/>
  <c r="J141" i="57"/>
  <c r="G73" i="57" s="1"/>
  <c r="G85" i="57" s="1"/>
  <c r="G99" i="57" s="1"/>
  <c r="E70" i="57"/>
  <c r="B105" i="53"/>
  <c r="D78" i="57" l="1"/>
  <c r="D83" i="57" s="1"/>
  <c r="D86" i="57" s="1"/>
  <c r="G66" i="57"/>
  <c r="G68" i="57" s="1"/>
  <c r="F70" i="57"/>
  <c r="F71" i="57" s="1"/>
  <c r="F72" i="57" s="1"/>
  <c r="I109" i="57"/>
  <c r="H108" i="57"/>
  <c r="H50" i="57" s="1"/>
  <c r="H59" i="57" s="1"/>
  <c r="G75" i="57"/>
  <c r="I76" i="57"/>
  <c r="J67" i="57"/>
  <c r="O136" i="57"/>
  <c r="K48" i="57"/>
  <c r="G79" i="57"/>
  <c r="M137" i="57"/>
  <c r="I49" i="57"/>
  <c r="C86" i="57"/>
  <c r="C88" i="57"/>
  <c r="D84" i="57"/>
  <c r="D88" i="57"/>
  <c r="C84" i="57"/>
  <c r="C89" i="57" s="1"/>
  <c r="G55" i="57"/>
  <c r="L140" i="57"/>
  <c r="K141" i="57"/>
  <c r="H73" i="57" s="1"/>
  <c r="H85" i="57" s="1"/>
  <c r="H99" i="57" s="1"/>
  <c r="I74" i="57"/>
  <c r="I52" i="57"/>
  <c r="J58" i="57"/>
  <c r="I47" i="57"/>
  <c r="I61" i="57" s="1"/>
  <c r="I60" i="57" s="1"/>
  <c r="E71" i="57"/>
  <c r="E72" i="57" s="1"/>
  <c r="H61" i="57"/>
  <c r="H60" i="57" s="1"/>
  <c r="B27" i="53"/>
  <c r="H66" i="57" l="1"/>
  <c r="H68" i="57" s="1"/>
  <c r="H80" i="57"/>
  <c r="H79" i="57"/>
  <c r="J109" i="57"/>
  <c r="I108" i="57"/>
  <c r="I50" i="57" s="1"/>
  <c r="I59" i="57" s="1"/>
  <c r="I80" i="57" s="1"/>
  <c r="J52" i="57"/>
  <c r="J47" i="57"/>
  <c r="J61" i="57" s="1"/>
  <c r="J60" i="57" s="1"/>
  <c r="K58" i="57"/>
  <c r="J74" i="57"/>
  <c r="I66" i="57"/>
  <c r="I68" i="57" s="1"/>
  <c r="I79" i="57"/>
  <c r="G82" i="57"/>
  <c r="G56" i="57"/>
  <c r="G69" i="57" s="1"/>
  <c r="N137" i="57"/>
  <c r="J49" i="57"/>
  <c r="B87" i="53"/>
  <c r="B86" i="53"/>
  <c r="H53" i="57"/>
  <c r="K67" i="57"/>
  <c r="J76" i="57"/>
  <c r="M140" i="57"/>
  <c r="M141" i="57"/>
  <c r="J73" i="57" s="1"/>
  <c r="J85" i="57" s="1"/>
  <c r="J99" i="57" s="1"/>
  <c r="D89" i="57"/>
  <c r="C87" i="57"/>
  <c r="C90" i="57" s="1"/>
  <c r="D87" i="57"/>
  <c r="H75" i="57"/>
  <c r="E78" i="57"/>
  <c r="E83" i="57" s="1"/>
  <c r="L141" i="57"/>
  <c r="I73" i="57" s="1"/>
  <c r="I85" i="57" s="1"/>
  <c r="I99" i="57" s="1"/>
  <c r="P136" i="57"/>
  <c r="L48" i="57"/>
  <c r="T30" i="15"/>
  <c r="U30" i="15"/>
  <c r="V30" i="15"/>
  <c r="AG30" i="15" s="1"/>
  <c r="AI30" i="15" s="1"/>
  <c r="W30" i="15"/>
  <c r="AB30" i="15"/>
  <c r="AC30" i="15"/>
  <c r="K109" i="57" l="1"/>
  <c r="J108" i="57"/>
  <c r="J50" i="57" s="1"/>
  <c r="J59" i="57" s="1"/>
  <c r="E86" i="57"/>
  <c r="E88" i="57"/>
  <c r="E84" i="57"/>
  <c r="E89" i="57" s="1"/>
  <c r="O137" i="57"/>
  <c r="K49" i="57"/>
  <c r="K74" i="57"/>
  <c r="K52" i="57"/>
  <c r="K47" i="57"/>
  <c r="K61" i="57" s="1"/>
  <c r="K60" i="57" s="1"/>
  <c r="L58" i="57"/>
  <c r="D90" i="57"/>
  <c r="K76" i="57"/>
  <c r="L67" i="57"/>
  <c r="I75" i="57"/>
  <c r="H55" i="57"/>
  <c r="I53" i="57" s="1"/>
  <c r="G77" i="57"/>
  <c r="G70" i="57"/>
  <c r="Q136" i="57"/>
  <c r="M48" i="57"/>
  <c r="F78" i="57"/>
  <c r="F83" i="57" s="1"/>
  <c r="F86" i="57" s="1"/>
  <c r="N140" i="57"/>
  <c r="N141" i="57"/>
  <c r="K73" i="57" s="1"/>
  <c r="K85" i="57" s="1"/>
  <c r="K99" i="57" s="1"/>
  <c r="B38" i="53"/>
  <c r="B42" i="53"/>
  <c r="J80" i="57" l="1"/>
  <c r="J79" i="57"/>
  <c r="K79" i="57" s="1"/>
  <c r="J66" i="57"/>
  <c r="J68" i="57" s="1"/>
  <c r="J75" i="57" s="1"/>
  <c r="F84" i="57"/>
  <c r="F89" i="57" s="1"/>
  <c r="K108" i="57"/>
  <c r="K50" i="57" s="1"/>
  <c r="K59" i="57" s="1"/>
  <c r="L109" i="57"/>
  <c r="I55" i="57"/>
  <c r="J53" i="57" s="1"/>
  <c r="M67" i="57"/>
  <c r="L76" i="57"/>
  <c r="P137" i="57"/>
  <c r="L49" i="57"/>
  <c r="O140" i="57"/>
  <c r="N48" i="57"/>
  <c r="R136" i="57"/>
  <c r="H82" i="57"/>
  <c r="H56" i="57"/>
  <c r="H69" i="57" s="1"/>
  <c r="K80" i="57"/>
  <c r="K66" i="57"/>
  <c r="K68" i="57" s="1"/>
  <c r="G71" i="57"/>
  <c r="M58" i="57"/>
  <c r="L52" i="57"/>
  <c r="L74" i="57"/>
  <c r="L47" i="57"/>
  <c r="L61" i="57" s="1"/>
  <c r="L60" i="57" s="1"/>
  <c r="F88" i="57"/>
  <c r="E87" i="57"/>
  <c r="E90" i="57" s="1"/>
  <c r="F87" i="57"/>
  <c r="L108" i="57" l="1"/>
  <c r="L50" i="57" s="1"/>
  <c r="L59" i="57" s="1"/>
  <c r="M109" i="57"/>
  <c r="G78" i="57"/>
  <c r="G83" i="57" s="1"/>
  <c r="K75" i="57"/>
  <c r="S136" i="57"/>
  <c r="O48" i="57"/>
  <c r="M76" i="57"/>
  <c r="N67" i="57"/>
  <c r="G72" i="57"/>
  <c r="J55" i="57"/>
  <c r="H77" i="57"/>
  <c r="H70" i="57"/>
  <c r="P140" i="57"/>
  <c r="M49" i="57"/>
  <c r="Q137" i="57"/>
  <c r="I56" i="57"/>
  <c r="I69" i="57" s="1"/>
  <c r="I82" i="57"/>
  <c r="F90" i="57"/>
  <c r="N58" i="57"/>
  <c r="M74" i="57"/>
  <c r="M52" i="57"/>
  <c r="M47" i="57"/>
  <c r="M61" i="57" s="1"/>
  <c r="M60" i="57" s="1"/>
  <c r="O141" i="57"/>
  <c r="L73" i="57" s="1"/>
  <c r="L85" i="57" s="1"/>
  <c r="L99" i="57" s="1"/>
  <c r="L79" i="57" l="1"/>
  <c r="L66" i="57"/>
  <c r="L68" i="57" s="1"/>
  <c r="L80" i="57"/>
  <c r="M108" i="57"/>
  <c r="M50" i="57" s="1"/>
  <c r="M59" i="57" s="1"/>
  <c r="N109" i="57"/>
  <c r="J82" i="57"/>
  <c r="J56" i="57"/>
  <c r="J69" i="57" s="1"/>
  <c r="G86" i="57"/>
  <c r="G84" i="57"/>
  <c r="G89" i="57" s="1"/>
  <c r="G88" i="57"/>
  <c r="Q141" i="57"/>
  <c r="N73" i="57" s="1"/>
  <c r="N85" i="57" s="1"/>
  <c r="N99" i="57" s="1"/>
  <c r="Q140" i="57"/>
  <c r="K53" i="57"/>
  <c r="I77" i="57"/>
  <c r="I70" i="57"/>
  <c r="P141" i="57"/>
  <c r="M73" i="57" s="1"/>
  <c r="M85" i="57" s="1"/>
  <c r="M99" i="57" s="1"/>
  <c r="T136" i="57"/>
  <c r="P48" i="57"/>
  <c r="L75" i="57"/>
  <c r="N74" i="57"/>
  <c r="N52" i="57"/>
  <c r="N47" i="57"/>
  <c r="N61" i="57" s="1"/>
  <c r="N60" i="57" s="1"/>
  <c r="O58" i="57"/>
  <c r="R137" i="57"/>
  <c r="N49" i="57"/>
  <c r="H71" i="57"/>
  <c r="H72" i="57" s="1"/>
  <c r="O67" i="57"/>
  <c r="N76" i="57"/>
  <c r="C49" i="7"/>
  <c r="D24" i="15"/>
  <c r="E24" i="15"/>
  <c r="F24" i="15"/>
  <c r="T24" i="15"/>
  <c r="U24" i="15"/>
  <c r="V24" i="15"/>
  <c r="AG24" i="15" s="1"/>
  <c r="AI24" i="15" s="1"/>
  <c r="W24" i="15"/>
  <c r="AB24" i="15"/>
  <c r="AC24" i="15"/>
  <c r="AD24" i="15"/>
  <c r="AE24" i="15"/>
  <c r="C24" i="15"/>
  <c r="A5" i="53"/>
  <c r="C48" i="7" l="1"/>
  <c r="M66" i="57"/>
  <c r="M68" i="57" s="1"/>
  <c r="M80" i="57"/>
  <c r="M79" i="57"/>
  <c r="O109" i="57"/>
  <c r="N108" i="57"/>
  <c r="N50" i="57" s="1"/>
  <c r="N59" i="57" s="1"/>
  <c r="O74" i="57"/>
  <c r="O52" i="57"/>
  <c r="O47" i="57"/>
  <c r="O61" i="57" s="1"/>
  <c r="O60" i="57" s="1"/>
  <c r="P58" i="57"/>
  <c r="H78" i="57"/>
  <c r="H83" i="57" s="1"/>
  <c r="K55" i="57"/>
  <c r="G87" i="57"/>
  <c r="G90" i="57" s="1"/>
  <c r="J77" i="57"/>
  <c r="J70" i="57"/>
  <c r="M75" i="57"/>
  <c r="P67" i="57"/>
  <c r="O76" i="57"/>
  <c r="S137" i="57"/>
  <c r="O49" i="57"/>
  <c r="Q48" i="57"/>
  <c r="U136" i="57"/>
  <c r="I71" i="57"/>
  <c r="I78" i="57" s="1"/>
  <c r="I83" i="57" s="1"/>
  <c r="I86" i="57" s="1"/>
  <c r="R140" i="57"/>
  <c r="R141" i="57"/>
  <c r="O73" i="57" s="1"/>
  <c r="O85" i="57" s="1"/>
  <c r="O99" i="57" s="1"/>
  <c r="N79" i="57" l="1"/>
  <c r="N80" i="57"/>
  <c r="N66" i="57"/>
  <c r="N68" i="57" s="1"/>
  <c r="N75" i="57" s="1"/>
  <c r="I72" i="57"/>
  <c r="O108" i="57"/>
  <c r="P109" i="57"/>
  <c r="O50" i="57"/>
  <c r="O59" i="57" s="1"/>
  <c r="O66" i="57" s="1"/>
  <c r="O68" i="57" s="1"/>
  <c r="T137" i="57"/>
  <c r="P49" i="57"/>
  <c r="K56" i="57"/>
  <c r="K69" i="57" s="1"/>
  <c r="K82" i="57"/>
  <c r="R48" i="57"/>
  <c r="V136" i="57"/>
  <c r="J71" i="57"/>
  <c r="J78" i="57" s="1"/>
  <c r="J83" i="57" s="1"/>
  <c r="Q58" i="57"/>
  <c r="P52" i="57"/>
  <c r="P47" i="57"/>
  <c r="P61" i="57" s="1"/>
  <c r="P60" i="57" s="1"/>
  <c r="P74" i="57"/>
  <c r="S140" i="57"/>
  <c r="S141" i="57"/>
  <c r="P73" i="57" s="1"/>
  <c r="P85" i="57" s="1"/>
  <c r="P99" i="57" s="1"/>
  <c r="Q67" i="57"/>
  <c r="P76" i="57"/>
  <c r="L53" i="57"/>
  <c r="H86" i="57"/>
  <c r="H84" i="57"/>
  <c r="H89" i="57" s="1"/>
  <c r="H88" i="57"/>
  <c r="I88" i="57"/>
  <c r="I84" i="57"/>
  <c r="I89" i="57" l="1"/>
  <c r="O80" i="57"/>
  <c r="J72" i="57"/>
  <c r="O79" i="57"/>
  <c r="Q109" i="57"/>
  <c r="P108" i="57"/>
  <c r="P50" i="57" s="1"/>
  <c r="P59" i="57" s="1"/>
  <c r="P66" i="57" s="1"/>
  <c r="P68" i="57" s="1"/>
  <c r="J86" i="57"/>
  <c r="J87" i="57" s="1"/>
  <c r="J88" i="57"/>
  <c r="J84" i="57"/>
  <c r="J89" i="57" s="1"/>
  <c r="I87" i="57"/>
  <c r="H87" i="57"/>
  <c r="H90" i="57" s="1"/>
  <c r="P80" i="57"/>
  <c r="Q49" i="57"/>
  <c r="U137" i="57"/>
  <c r="L55" i="57"/>
  <c r="M53" i="57"/>
  <c r="Q76" i="57"/>
  <c r="R67" i="57"/>
  <c r="K77" i="57"/>
  <c r="K70" i="57"/>
  <c r="O75" i="57"/>
  <c r="T141" i="57"/>
  <c r="Q73" i="57" s="1"/>
  <c r="Q85" i="57" s="1"/>
  <c r="Q99" i="57" s="1"/>
  <c r="T140" i="57"/>
  <c r="R58" i="57"/>
  <c r="Q74" i="57"/>
  <c r="Q47" i="57"/>
  <c r="Q61" i="57" s="1"/>
  <c r="Q60" i="57" s="1"/>
  <c r="Q52" i="57"/>
  <c r="W136" i="57"/>
  <c r="S48" i="57"/>
  <c r="B22" i="53"/>
  <c r="A15" i="53"/>
  <c r="B21" i="53" s="1"/>
  <c r="A12" i="53"/>
  <c r="A9" i="53"/>
  <c r="B68" i="53"/>
  <c r="B91" i="53"/>
  <c r="B90" i="53" s="1"/>
  <c r="B89" i="53"/>
  <c r="B88" i="53" s="1"/>
  <c r="B66" i="53"/>
  <c r="B49" i="53"/>
  <c r="B32" i="53"/>
  <c r="B80" i="53"/>
  <c r="P79" i="57" l="1"/>
  <c r="R109" i="57"/>
  <c r="Q108" i="57"/>
  <c r="Q50" i="57" s="1"/>
  <c r="Q59" i="57" s="1"/>
  <c r="Q79" i="57" s="1"/>
  <c r="V137" i="57"/>
  <c r="R49" i="57"/>
  <c r="P75" i="57"/>
  <c r="Q80" i="57"/>
  <c r="Q66" i="57"/>
  <c r="Q68" i="57" s="1"/>
  <c r="X136" i="57"/>
  <c r="T48" i="57"/>
  <c r="S58" i="57"/>
  <c r="R74" i="57"/>
  <c r="R52" i="57"/>
  <c r="R47" i="57"/>
  <c r="R61" i="57" s="1"/>
  <c r="R60" i="57" s="1"/>
  <c r="M55" i="57"/>
  <c r="N53" i="57" s="1"/>
  <c r="U140" i="57"/>
  <c r="K71" i="57"/>
  <c r="K78" i="57" s="1"/>
  <c r="K83" i="57" s="1"/>
  <c r="R76" i="57"/>
  <c r="S67" i="57"/>
  <c r="L56" i="57"/>
  <c r="L69" i="57" s="1"/>
  <c r="L82" i="57"/>
  <c r="I90" i="57"/>
  <c r="J90" i="57"/>
  <c r="B30" i="53"/>
  <c r="B34" i="53"/>
  <c r="B55" i="53"/>
  <c r="B63" i="53"/>
  <c r="B76" i="53"/>
  <c r="B46" i="53"/>
  <c r="B51" i="53"/>
  <c r="B59" i="53"/>
  <c r="B72" i="53"/>
  <c r="R108" i="57" l="1"/>
  <c r="R50" i="57" s="1"/>
  <c r="R59" i="57" s="1"/>
  <c r="S109" i="57"/>
  <c r="K86" i="57"/>
  <c r="K87" i="57" s="1"/>
  <c r="K90" i="57" s="1"/>
  <c r="K84" i="57"/>
  <c r="K89" i="57" s="1"/>
  <c r="K88" i="57"/>
  <c r="Y136" i="57"/>
  <c r="U48" i="57"/>
  <c r="L77" i="57"/>
  <c r="L70" i="57"/>
  <c r="K72" i="57"/>
  <c r="M82" i="57"/>
  <c r="M56" i="57"/>
  <c r="M69" i="57" s="1"/>
  <c r="N55" i="57"/>
  <c r="T67" i="57"/>
  <c r="S76" i="57"/>
  <c r="V140" i="57"/>
  <c r="V141" i="57"/>
  <c r="S73" i="57" s="1"/>
  <c r="S85" i="57" s="1"/>
  <c r="S99" i="57" s="1"/>
  <c r="R80" i="57"/>
  <c r="R66" i="57"/>
  <c r="R68" i="57" s="1"/>
  <c r="R79" i="57"/>
  <c r="S74" i="57"/>
  <c r="S52" i="57"/>
  <c r="S47" i="57"/>
  <c r="T58" i="57"/>
  <c r="Q75" i="57"/>
  <c r="W137" i="57"/>
  <c r="S49" i="57"/>
  <c r="U141" i="57"/>
  <c r="R73" i="57" s="1"/>
  <c r="R85" i="57" s="1"/>
  <c r="R99" i="57" s="1"/>
  <c r="B83" i="53"/>
  <c r="A15" i="12"/>
  <c r="T109" i="57" l="1"/>
  <c r="S108" i="57"/>
  <c r="S50" i="57" s="1"/>
  <c r="S59" i="57" s="1"/>
  <c r="S80" i="57" s="1"/>
  <c r="L71" i="57"/>
  <c r="L78" i="57" s="1"/>
  <c r="L83" i="57" s="1"/>
  <c r="Z136" i="57"/>
  <c r="V48" i="57"/>
  <c r="U58" i="57"/>
  <c r="T74" i="57"/>
  <c r="T52" i="57"/>
  <c r="T47" i="57"/>
  <c r="W140" i="57"/>
  <c r="W141" i="57" s="1"/>
  <c r="T73" i="57" s="1"/>
  <c r="T85" i="57" s="1"/>
  <c r="T99" i="57" s="1"/>
  <c r="N82" i="57"/>
  <c r="N56" i="57"/>
  <c r="N69" i="57" s="1"/>
  <c r="M77" i="57"/>
  <c r="M70" i="57"/>
  <c r="X137" i="57"/>
  <c r="T49" i="57"/>
  <c r="S61" i="57"/>
  <c r="S60" i="57" s="1"/>
  <c r="R75" i="57"/>
  <c r="O53" i="57"/>
  <c r="U67" i="57"/>
  <c r="T76" i="57"/>
  <c r="A8" i="17"/>
  <c r="E9" i="14"/>
  <c r="S66" i="57" l="1"/>
  <c r="S68" i="57" s="1"/>
  <c r="U109" i="57"/>
  <c r="T108" i="57"/>
  <c r="T50" i="57" s="1"/>
  <c r="T59" i="57" s="1"/>
  <c r="T80" i="57" s="1"/>
  <c r="L86" i="57"/>
  <c r="L87" i="57" s="1"/>
  <c r="L84" i="57"/>
  <c r="L89" i="57" s="1"/>
  <c r="G28" i="57" s="1"/>
  <c r="C105" i="57" s="1"/>
  <c r="L88" i="57"/>
  <c r="B105" i="57" s="1"/>
  <c r="O55" i="57"/>
  <c r="P53" i="57" s="1"/>
  <c r="U76" i="57"/>
  <c r="V67" i="57"/>
  <c r="AA136" i="57"/>
  <c r="W48" i="57"/>
  <c r="M71" i="57"/>
  <c r="M78" i="57" s="1"/>
  <c r="M83" i="57" s="1"/>
  <c r="L72" i="57"/>
  <c r="S79" i="57"/>
  <c r="X140" i="57"/>
  <c r="U74" i="57"/>
  <c r="V58" i="57"/>
  <c r="U52" i="57"/>
  <c r="U47" i="57"/>
  <c r="U61" i="57" s="1"/>
  <c r="U60" i="57" s="1"/>
  <c r="S75" i="57"/>
  <c r="U49" i="57"/>
  <c r="Y137" i="57"/>
  <c r="N77" i="57"/>
  <c r="N70" i="57"/>
  <c r="T61" i="57"/>
  <c r="T60" i="57" s="1"/>
  <c r="T23" i="15"/>
  <c r="U23" i="15" s="1"/>
  <c r="V23" i="15" s="1"/>
  <c r="W23" i="15" s="1"/>
  <c r="AB23" i="15" s="1"/>
  <c r="AC23" i="15" s="1"/>
  <c r="AD23" i="15" s="1"/>
  <c r="AE23" i="15" s="1"/>
  <c r="AF23" i="15" s="1"/>
  <c r="AG23" i="15" s="1"/>
  <c r="T66" i="57" l="1"/>
  <c r="T68" i="57" s="1"/>
  <c r="V109" i="57"/>
  <c r="U108" i="57"/>
  <c r="U50" i="57" s="1"/>
  <c r="U59" i="57" s="1"/>
  <c r="U66" i="57" s="1"/>
  <c r="U68" i="57" s="1"/>
  <c r="T79" i="57"/>
  <c r="N71" i="57"/>
  <c r="N78" i="57" s="1"/>
  <c r="N83" i="57" s="1"/>
  <c r="W58" i="57"/>
  <c r="V52" i="57"/>
  <c r="V47" i="57"/>
  <c r="V74" i="57"/>
  <c r="M86" i="57"/>
  <c r="M87" i="57" s="1"/>
  <c r="M90" i="57" s="1"/>
  <c r="M84" i="57"/>
  <c r="M89" i="57" s="1"/>
  <c r="M88" i="57"/>
  <c r="P55" i="57"/>
  <c r="V76" i="57"/>
  <c r="W67" i="57"/>
  <c r="U80" i="57"/>
  <c r="Z137" i="57"/>
  <c r="V49" i="57"/>
  <c r="Y141" i="57"/>
  <c r="V73" i="57" s="1"/>
  <c r="V85" i="57" s="1"/>
  <c r="V99" i="57" s="1"/>
  <c r="Y140" i="57"/>
  <c r="T75" i="57"/>
  <c r="X141" i="57"/>
  <c r="U73" i="57" s="1"/>
  <c r="U85" i="57" s="1"/>
  <c r="U99" i="57" s="1"/>
  <c r="M72" i="57"/>
  <c r="AB136" i="57"/>
  <c r="X48" i="57"/>
  <c r="O56" i="57"/>
  <c r="O69" i="57" s="1"/>
  <c r="O82" i="57"/>
  <c r="L90" i="57"/>
  <c r="G29" i="57" s="1"/>
  <c r="D105" i="57" s="1"/>
  <c r="G30" i="57"/>
  <c r="A105" i="57" s="1"/>
  <c r="A15" i="5"/>
  <c r="A12" i="5"/>
  <c r="A9" i="5"/>
  <c r="O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79" i="57" l="1"/>
  <c r="W109" i="57"/>
  <c r="V108" i="57"/>
  <c r="V50" i="57" s="1"/>
  <c r="V59" i="57" s="1"/>
  <c r="V80" i="57" s="1"/>
  <c r="V61" i="57"/>
  <c r="V60" i="57" s="1"/>
  <c r="N72" i="57"/>
  <c r="O77" i="57"/>
  <c r="O70" i="57"/>
  <c r="U75" i="57"/>
  <c r="P56" i="57"/>
  <c r="P69" i="57" s="1"/>
  <c r="P82" i="57"/>
  <c r="W74" i="57"/>
  <c r="X58" i="57"/>
  <c r="W52" i="57"/>
  <c r="W47" i="57"/>
  <c r="W61" i="57" s="1"/>
  <c r="W60" i="57" s="1"/>
  <c r="Y48" i="57"/>
  <c r="AC136" i="57"/>
  <c r="AA137" i="57"/>
  <c r="W49" i="57"/>
  <c r="W76" i="57"/>
  <c r="X67" i="57"/>
  <c r="N86" i="57"/>
  <c r="N87" i="57" s="1"/>
  <c r="N90" i="57" s="1"/>
  <c r="N84" i="57"/>
  <c r="N89" i="57" s="1"/>
  <c r="N88" i="57"/>
  <c r="Z140" i="57"/>
  <c r="Z141" i="57"/>
  <c r="W73" i="57" s="1"/>
  <c r="W85" i="57" s="1"/>
  <c r="W99" i="57" s="1"/>
  <c r="Q53" i="5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109" i="57" l="1"/>
  <c r="W108" i="57"/>
  <c r="W50" i="57" s="1"/>
  <c r="W59" i="57" s="1"/>
  <c r="W80" i="57" s="1"/>
  <c r="V66" i="57"/>
  <c r="V68" i="57" s="1"/>
  <c r="V75" i="57" s="1"/>
  <c r="AD136" i="57"/>
  <c r="Z48" i="57"/>
  <c r="Q55" i="57"/>
  <c r="R53" i="57" s="1"/>
  <c r="P77" i="57"/>
  <c r="P70" i="57"/>
  <c r="O71" i="57"/>
  <c r="O78" i="57" s="1"/>
  <c r="O83" i="57" s="1"/>
  <c r="V79" i="57"/>
  <c r="W79" i="57" s="1"/>
  <c r="AB137" i="57"/>
  <c r="X49" i="57"/>
  <c r="Y58" i="57"/>
  <c r="X74" i="57"/>
  <c r="X52" i="57"/>
  <c r="X47" i="57"/>
  <c r="W66" i="57"/>
  <c r="W68" i="57" s="1"/>
  <c r="AA140" i="57"/>
  <c r="Y67" i="57"/>
  <c r="X76" i="57"/>
  <c r="Y109" i="57" l="1"/>
  <c r="X108" i="57"/>
  <c r="X50" i="57" s="1"/>
  <c r="X59" i="57" s="1"/>
  <c r="X80" i="57" s="1"/>
  <c r="R55" i="57"/>
  <c r="O86" i="57"/>
  <c r="O87" i="57" s="1"/>
  <c r="O90" i="57" s="1"/>
  <c r="O84" i="57"/>
  <c r="O89" i="57" s="1"/>
  <c r="O88" i="57"/>
  <c r="Y76" i="57"/>
  <c r="Z67" i="57"/>
  <c r="AB140" i="57"/>
  <c r="Y74" i="57"/>
  <c r="Y52" i="57"/>
  <c r="Y47" i="57"/>
  <c r="Y61" i="57" s="1"/>
  <c r="Y60" i="57" s="1"/>
  <c r="Z58" i="57"/>
  <c r="X61" i="57"/>
  <c r="X60" i="57" s="1"/>
  <c r="O72" i="57"/>
  <c r="AE136" i="57"/>
  <c r="AA48" i="57"/>
  <c r="Q82" i="57"/>
  <c r="Q56" i="57"/>
  <c r="Q69" i="57" s="1"/>
  <c r="AA141" i="57"/>
  <c r="X73" i="57" s="1"/>
  <c r="X85" i="57" s="1"/>
  <c r="X99" i="57" s="1"/>
  <c r="W75" i="57"/>
  <c r="AC137" i="57"/>
  <c r="Y49" i="57"/>
  <c r="P72" i="57"/>
  <c r="P71" i="57"/>
  <c r="P78" i="57" s="1"/>
  <c r="P83" i="57" s="1"/>
  <c r="X66" i="57" l="1"/>
  <c r="X68" i="57" s="1"/>
  <c r="X75" i="57" s="1"/>
  <c r="Y108" i="57"/>
  <c r="Y50" i="57" s="1"/>
  <c r="Y59" i="57" s="1"/>
  <c r="Y80" i="57" s="1"/>
  <c r="Z109" i="57"/>
  <c r="P86" i="57"/>
  <c r="P87" i="57" s="1"/>
  <c r="P90" i="57" s="1"/>
  <c r="P84" i="57"/>
  <c r="P89" i="57" s="1"/>
  <c r="P88" i="57"/>
  <c r="X79" i="57"/>
  <c r="Y79" i="57" s="1"/>
  <c r="AD137" i="57"/>
  <c r="Z49" i="57"/>
  <c r="Y66" i="57"/>
  <c r="Y68" i="57" s="1"/>
  <c r="AF136" i="57"/>
  <c r="AB48" i="57"/>
  <c r="Z52" i="57"/>
  <c r="Z47" i="57"/>
  <c r="AA58" i="57"/>
  <c r="Z74" i="57"/>
  <c r="AC140" i="57"/>
  <c r="AC141" i="57"/>
  <c r="Z73" i="57" s="1"/>
  <c r="Z85" i="57" s="1"/>
  <c r="Z99" i="57" s="1"/>
  <c r="AA67" i="57"/>
  <c r="Z76" i="57"/>
  <c r="R82" i="57"/>
  <c r="R56" i="57"/>
  <c r="R69" i="57" s="1"/>
  <c r="Q77" i="57"/>
  <c r="Q70" i="57"/>
  <c r="AB141" i="57"/>
  <c r="Y73" i="57" s="1"/>
  <c r="Y85" i="57" s="1"/>
  <c r="Y99" i="57" s="1"/>
  <c r="S53" i="57"/>
  <c r="Z108" i="57" l="1"/>
  <c r="Z50" i="57" s="1"/>
  <c r="Z59" i="57" s="1"/>
  <c r="Z80" i="57" s="1"/>
  <c r="AA109" i="57"/>
  <c r="S55" i="57"/>
  <c r="T53" i="57" s="1"/>
  <c r="AA76" i="57"/>
  <c r="AB67" i="57"/>
  <c r="AQ67" i="57"/>
  <c r="AA74" i="57"/>
  <c r="AA52" i="57"/>
  <c r="AA47" i="57"/>
  <c r="AA61" i="57" s="1"/>
  <c r="AA60" i="57" s="1"/>
  <c r="AB58" i="57"/>
  <c r="AG136" i="57"/>
  <c r="AC48" i="57"/>
  <c r="R77" i="57"/>
  <c r="R70" i="57"/>
  <c r="Z61" i="57"/>
  <c r="Z60" i="57" s="1"/>
  <c r="AE137" i="57"/>
  <c r="AA49" i="57"/>
  <c r="Q71" i="57"/>
  <c r="Q78" i="57" s="1"/>
  <c r="Q83" i="57" s="1"/>
  <c r="AD140" i="57"/>
  <c r="AD141" i="57"/>
  <c r="AA73" i="57" s="1"/>
  <c r="AA85" i="57" s="1"/>
  <c r="AA99" i="57" s="1"/>
  <c r="Y75" i="57"/>
  <c r="Q72" i="57" l="1"/>
  <c r="Z66" i="57"/>
  <c r="Z68" i="57" s="1"/>
  <c r="Z75" i="57" s="1"/>
  <c r="AB109" i="57"/>
  <c r="AA108" i="57"/>
  <c r="AA50" i="57" s="1"/>
  <c r="AA59" i="57" s="1"/>
  <c r="T55" i="57"/>
  <c r="R71" i="57"/>
  <c r="R78" i="57" s="1"/>
  <c r="R83" i="57" s="1"/>
  <c r="Z79" i="57"/>
  <c r="Q86" i="57"/>
  <c r="Q87" i="57" s="1"/>
  <c r="Q90" i="57" s="1"/>
  <c r="Q84" i="57"/>
  <c r="Q89" i="57" s="1"/>
  <c r="Q88" i="57"/>
  <c r="AE140" i="57"/>
  <c r="AH136" i="57"/>
  <c r="AD48" i="57"/>
  <c r="AC67" i="57"/>
  <c r="AB76" i="57"/>
  <c r="AB49" i="57"/>
  <c r="AF137" i="57"/>
  <c r="AC58" i="57"/>
  <c r="AB74" i="57"/>
  <c r="AB47" i="57"/>
  <c r="AB61" i="57" s="1"/>
  <c r="AB60" i="57" s="1"/>
  <c r="AB52" i="57"/>
  <c r="S82" i="57"/>
  <c r="S56" i="57"/>
  <c r="S69" i="57" s="1"/>
  <c r="AA80" i="57" l="1"/>
  <c r="AA66" i="57"/>
  <c r="AA68" i="57" s="1"/>
  <c r="AB108" i="57"/>
  <c r="AB50" i="57" s="1"/>
  <c r="AB59" i="57" s="1"/>
  <c r="AC109" i="57"/>
  <c r="AA79" i="57"/>
  <c r="AI136" i="57"/>
  <c r="AE48" i="57"/>
  <c r="S77" i="57"/>
  <c r="S70" i="57"/>
  <c r="R86" i="57"/>
  <c r="R87" i="57" s="1"/>
  <c r="R90" i="57" s="1"/>
  <c r="R88" i="57"/>
  <c r="R84" i="57"/>
  <c r="R89" i="57" s="1"/>
  <c r="T56" i="57"/>
  <c r="T69" i="57" s="1"/>
  <c r="T82" i="57"/>
  <c r="AC49" i="57"/>
  <c r="AG137" i="57"/>
  <c r="AD58" i="57"/>
  <c r="AC74" i="57"/>
  <c r="AC52" i="57"/>
  <c r="AC47" i="57"/>
  <c r="AF141" i="57"/>
  <c r="AC73" i="57" s="1"/>
  <c r="AC85" i="57" s="1"/>
  <c r="AC99" i="57" s="1"/>
  <c r="AF140" i="57"/>
  <c r="AC76" i="57"/>
  <c r="AD67" i="57"/>
  <c r="AE141" i="57"/>
  <c r="AB73" i="57" s="1"/>
  <c r="AB85" i="57" s="1"/>
  <c r="AB99" i="57" s="1"/>
  <c r="AA75" i="57"/>
  <c r="R72" i="57"/>
  <c r="U53" i="57"/>
  <c r="AB79" i="57" l="1"/>
  <c r="AB66" i="57"/>
  <c r="AB68" i="57" s="1"/>
  <c r="AB80" i="57"/>
  <c r="AC108" i="57"/>
  <c r="AC50" i="57" s="1"/>
  <c r="AC59" i="57" s="1"/>
  <c r="AD109" i="57"/>
  <c r="AD74" i="57"/>
  <c r="AD52" i="57"/>
  <c r="AD47" i="57"/>
  <c r="AD61" i="57" s="1"/>
  <c r="AD60" i="57" s="1"/>
  <c r="AE58" i="57"/>
  <c r="T77" i="57"/>
  <c r="T70" i="57"/>
  <c r="AJ136" i="57"/>
  <c r="AF48" i="57"/>
  <c r="U55" i="57"/>
  <c r="AC61" i="57"/>
  <c r="AC60" i="57" s="1"/>
  <c r="AH137" i="57"/>
  <c r="AD49" i="57"/>
  <c r="S71" i="57"/>
  <c r="S78" i="57" s="1"/>
  <c r="S83" i="57" s="1"/>
  <c r="AB75" i="57"/>
  <c r="AE67" i="57"/>
  <c r="AD76" i="57"/>
  <c r="AG141" i="57"/>
  <c r="AD73" i="57" s="1"/>
  <c r="AD85" i="57" s="1"/>
  <c r="AD99" i="57" s="1"/>
  <c r="AG140" i="57"/>
  <c r="AC66" i="57" l="1"/>
  <c r="AC68" i="57" s="1"/>
  <c r="S72" i="57"/>
  <c r="AC80" i="57"/>
  <c r="AD108" i="57"/>
  <c r="AD50" i="57" s="1"/>
  <c r="AD59" i="57" s="1"/>
  <c r="AD80" i="57" s="1"/>
  <c r="AE109" i="57"/>
  <c r="AI137" i="57"/>
  <c r="AE49" i="57"/>
  <c r="AE74" i="57"/>
  <c r="AE52" i="57"/>
  <c r="AE47" i="57"/>
  <c r="AE61" i="57" s="1"/>
  <c r="AE60" i="57" s="1"/>
  <c r="AF58" i="57"/>
  <c r="U56" i="57"/>
  <c r="U69" i="57" s="1"/>
  <c r="U82" i="57"/>
  <c r="AF67" i="57"/>
  <c r="AE76" i="57"/>
  <c r="AG48" i="57"/>
  <c r="AK136" i="57"/>
  <c r="T71" i="57"/>
  <c r="T78" i="57" s="1"/>
  <c r="T83" i="57" s="1"/>
  <c r="S86" i="57"/>
  <c r="S87" i="57" s="1"/>
  <c r="S90" i="57" s="1"/>
  <c r="S88" i="57"/>
  <c r="S84" i="57"/>
  <c r="S89" i="57" s="1"/>
  <c r="AC75" i="57"/>
  <c r="AH140" i="57"/>
  <c r="AH141" i="57"/>
  <c r="AE73" i="57" s="1"/>
  <c r="AE85" i="57" s="1"/>
  <c r="AE99" i="57" s="1"/>
  <c r="V53" i="57"/>
  <c r="AC79" i="57"/>
  <c r="AD79" i="57" l="1"/>
  <c r="AD66" i="57"/>
  <c r="AD68" i="57" s="1"/>
  <c r="AF109" i="57"/>
  <c r="AE108" i="57"/>
  <c r="AE50" i="57" s="1"/>
  <c r="AE59" i="57" s="1"/>
  <c r="T86" i="57"/>
  <c r="T87" i="57" s="1"/>
  <c r="T90" i="57" s="1"/>
  <c r="T84" i="57"/>
  <c r="T89" i="57" s="1"/>
  <c r="T88" i="57"/>
  <c r="AL136" i="57"/>
  <c r="AH48" i="57"/>
  <c r="AG58" i="57"/>
  <c r="AF52" i="57"/>
  <c r="AF47" i="57"/>
  <c r="AF74" i="57"/>
  <c r="U77" i="57"/>
  <c r="U70" i="57"/>
  <c r="AJ137" i="57"/>
  <c r="AF49" i="57"/>
  <c r="AD75" i="57"/>
  <c r="AG67" i="57"/>
  <c r="AF76" i="57"/>
  <c r="AR67" i="57"/>
  <c r="AI140" i="57"/>
  <c r="AI141" i="57"/>
  <c r="AF73" i="57" s="1"/>
  <c r="AF85" i="57" s="1"/>
  <c r="AF99" i="57" s="1"/>
  <c r="V55" i="57"/>
  <c r="W53" i="57" s="1"/>
  <c r="T72" i="57"/>
  <c r="AE80" i="57" l="1"/>
  <c r="AE66" i="57"/>
  <c r="AE68" i="57" s="1"/>
  <c r="AE79" i="57"/>
  <c r="AF108" i="57"/>
  <c r="AF50" i="57" s="1"/>
  <c r="AF59" i="57" s="1"/>
  <c r="AG109" i="57"/>
  <c r="AK137" i="57"/>
  <c r="AG49" i="57"/>
  <c r="V82" i="57"/>
  <c r="V56" i="57"/>
  <c r="V69" i="57" s="1"/>
  <c r="AE75" i="57"/>
  <c r="W55" i="57"/>
  <c r="X53" i="57" s="1"/>
  <c r="AF61" i="57"/>
  <c r="AF60" i="57" s="1"/>
  <c r="AM136" i="57"/>
  <c r="AI48" i="57"/>
  <c r="AG76" i="57"/>
  <c r="AH67" i="57"/>
  <c r="AJ141" i="57"/>
  <c r="AG73" i="57" s="1"/>
  <c r="AG85" i="57" s="1"/>
  <c r="AG99" i="57" s="1"/>
  <c r="AJ140" i="57"/>
  <c r="U71" i="57"/>
  <c r="U78" i="57" s="1"/>
  <c r="U83" i="57" s="1"/>
  <c r="AH58" i="57"/>
  <c r="AG74" i="57"/>
  <c r="AG52" i="57"/>
  <c r="AG47" i="57"/>
  <c r="AG61" i="57" s="1"/>
  <c r="AG60" i="57" s="1"/>
  <c r="AF79" i="57" l="1"/>
  <c r="AF80" i="57"/>
  <c r="AF66" i="57"/>
  <c r="AF68" i="57" s="1"/>
  <c r="AF75" i="57" s="1"/>
  <c r="U72" i="57"/>
  <c r="AG108" i="57"/>
  <c r="AG50" i="57" s="1"/>
  <c r="AG59" i="57" s="1"/>
  <c r="AH109" i="57"/>
  <c r="U86" i="57"/>
  <c r="U87" i="57" s="1"/>
  <c r="U90" i="57" s="1"/>
  <c r="U84" i="57"/>
  <c r="U89" i="57" s="1"/>
  <c r="U88" i="57"/>
  <c r="X55" i="57"/>
  <c r="AL137" i="57"/>
  <c r="AH49" i="57"/>
  <c r="AN136" i="57"/>
  <c r="AJ48" i="57"/>
  <c r="V77" i="57"/>
  <c r="V70" i="57"/>
  <c r="AI58" i="57"/>
  <c r="AH74" i="57"/>
  <c r="AH52" i="57"/>
  <c r="AH47" i="57"/>
  <c r="AK140" i="57"/>
  <c r="AK141" i="57" s="1"/>
  <c r="AH73" i="57" s="1"/>
  <c r="AH85" i="57" s="1"/>
  <c r="AH99" i="57" s="1"/>
  <c r="AH76" i="57"/>
  <c r="AI67" i="57"/>
  <c r="AG80" i="57"/>
  <c r="AG66" i="57"/>
  <c r="AG68" i="57" s="1"/>
  <c r="W82" i="57"/>
  <c r="W56" i="57"/>
  <c r="W69" i="57" s="1"/>
  <c r="AG79" i="57" l="1"/>
  <c r="AH108" i="57"/>
  <c r="AH50" i="57" s="1"/>
  <c r="AH59" i="57" s="1"/>
  <c r="AH80" i="57" s="1"/>
  <c r="AI109" i="57"/>
  <c r="V71" i="57"/>
  <c r="V78" i="57" s="1"/>
  <c r="V83" i="57" s="1"/>
  <c r="X82" i="57"/>
  <c r="X56" i="57"/>
  <c r="X69" i="57" s="1"/>
  <c r="AG75" i="57"/>
  <c r="W77" i="57"/>
  <c r="W70" i="57"/>
  <c r="AI74" i="57"/>
  <c r="AI52" i="57"/>
  <c r="AI47" i="57"/>
  <c r="AI61" i="57" s="1"/>
  <c r="AI60" i="57" s="1"/>
  <c r="AJ58" i="57"/>
  <c r="AM137" i="57"/>
  <c r="AI49" i="57"/>
  <c r="AL140" i="57"/>
  <c r="AL141" i="57"/>
  <c r="AI73" i="57" s="1"/>
  <c r="AI85" i="57" s="1"/>
  <c r="AI99" i="57" s="1"/>
  <c r="AJ67" i="57"/>
  <c r="AI76" i="57"/>
  <c r="AH61" i="57"/>
  <c r="AH60" i="57" s="1"/>
  <c r="AO136" i="57"/>
  <c r="AK48" i="57"/>
  <c r="Y53" i="57"/>
  <c r="AH66" i="57" l="1"/>
  <c r="AH68" i="57" s="1"/>
  <c r="AI108" i="57"/>
  <c r="AJ109" i="57"/>
  <c r="AI50" i="57"/>
  <c r="AI59" i="57" s="1"/>
  <c r="AI80" i="57" s="1"/>
  <c r="AH75" i="57"/>
  <c r="V86" i="57"/>
  <c r="V87" i="57" s="1"/>
  <c r="V90" i="57" s="1"/>
  <c r="V88" i="57"/>
  <c r="V84" i="57"/>
  <c r="V89" i="57" s="1"/>
  <c r="X77" i="57"/>
  <c r="X70" i="57"/>
  <c r="AH79" i="57"/>
  <c r="Y55" i="57"/>
  <c r="Z53" i="57" s="1"/>
  <c r="AM140" i="57"/>
  <c r="AN137" i="57"/>
  <c r="AJ49" i="57"/>
  <c r="AL48" i="57"/>
  <c r="AP136" i="57"/>
  <c r="AK67" i="57"/>
  <c r="AJ76" i="57"/>
  <c r="AK58" i="57"/>
  <c r="AJ74" i="57"/>
  <c r="AJ52" i="57"/>
  <c r="AJ47" i="57"/>
  <c r="AJ61" i="57" s="1"/>
  <c r="AJ60" i="57" s="1"/>
  <c r="W71" i="57"/>
  <c r="W78" i="57" s="1"/>
  <c r="W83" i="57" s="1"/>
  <c r="V72" i="57"/>
  <c r="AI79" i="57" l="1"/>
  <c r="AI66" i="57"/>
  <c r="AI68" i="57" s="1"/>
  <c r="AK109" i="57"/>
  <c r="AJ108" i="57"/>
  <c r="AJ50" i="57" s="1"/>
  <c r="AJ59" i="57" s="1"/>
  <c r="AJ80" i="57" s="1"/>
  <c r="W72" i="57"/>
  <c r="W86" i="57"/>
  <c r="W87" i="57" s="1"/>
  <c r="W90" i="57" s="1"/>
  <c r="W88" i="57"/>
  <c r="W84" i="57"/>
  <c r="W89" i="57" s="1"/>
  <c r="Z55" i="57"/>
  <c r="AA53" i="57" s="1"/>
  <c r="AI75" i="57"/>
  <c r="AN141" i="57"/>
  <c r="AK73" i="57" s="1"/>
  <c r="AK85" i="57" s="1"/>
  <c r="AK99" i="57" s="1"/>
  <c r="AN140" i="57"/>
  <c r="AK47" i="57"/>
  <c r="AK61" i="57" s="1"/>
  <c r="AK60" i="57" s="1"/>
  <c r="AK74" i="57"/>
  <c r="AL58" i="57"/>
  <c r="AK52" i="57"/>
  <c r="AM141" i="57"/>
  <c r="AJ73" i="57" s="1"/>
  <c r="AJ85" i="57" s="1"/>
  <c r="AJ99" i="57" s="1"/>
  <c r="X71" i="57"/>
  <c r="X78" i="57" s="1"/>
  <c r="X83" i="57" s="1"/>
  <c r="X72" i="57"/>
  <c r="AJ79" i="57"/>
  <c r="AK76" i="57"/>
  <c r="AL67" i="57"/>
  <c r="AQ136" i="57"/>
  <c r="AM48" i="57"/>
  <c r="AK49" i="57"/>
  <c r="AO137" i="57"/>
  <c r="Y82" i="57"/>
  <c r="Y56" i="57"/>
  <c r="Y69" i="57" s="1"/>
  <c r="AJ66" i="57" l="1"/>
  <c r="AJ68" i="57" s="1"/>
  <c r="AL109" i="57"/>
  <c r="AK108" i="57"/>
  <c r="AK50" i="57" s="1"/>
  <c r="AK59" i="57" s="1"/>
  <c r="AK80" i="57" s="1"/>
  <c r="AA55" i="57"/>
  <c r="AB53" i="57" s="1"/>
  <c r="AP137" i="57"/>
  <c r="AL49" i="57"/>
  <c r="AL76" i="57"/>
  <c r="AM67" i="57"/>
  <c r="AJ75" i="57"/>
  <c r="AM58" i="57"/>
  <c r="AL52" i="57"/>
  <c r="AL47" i="57"/>
  <c r="AL61" i="57" s="1"/>
  <c r="AL60" i="57" s="1"/>
  <c r="AL74" i="57"/>
  <c r="AR136" i="57"/>
  <c r="AN48" i="57"/>
  <c r="Y77" i="57"/>
  <c r="Y70" i="57"/>
  <c r="X86" i="57"/>
  <c r="X87" i="57" s="1"/>
  <c r="X90" i="57" s="1"/>
  <c r="X88" i="57"/>
  <c r="X84" i="57"/>
  <c r="X89" i="57" s="1"/>
  <c r="AO140" i="57"/>
  <c r="AO141" i="57" s="1"/>
  <c r="AL73" i="57" s="1"/>
  <c r="AL85" i="57" s="1"/>
  <c r="AL99" i="57" s="1"/>
  <c r="Z82" i="57"/>
  <c r="Z56" i="57"/>
  <c r="Z69" i="57" s="1"/>
  <c r="AK79" i="57" l="1"/>
  <c r="AK66" i="57"/>
  <c r="AK68" i="57" s="1"/>
  <c r="AM109" i="57"/>
  <c r="AL108" i="57"/>
  <c r="AL50" i="57" s="1"/>
  <c r="AL59" i="57" s="1"/>
  <c r="AL80" i="57" s="1"/>
  <c r="AB55" i="57"/>
  <c r="AC53" i="57" s="1"/>
  <c r="Z77" i="57"/>
  <c r="Z70" i="57"/>
  <c r="AK75" i="57"/>
  <c r="Y71" i="57"/>
  <c r="Y78" i="57" s="1"/>
  <c r="Y83" i="57" s="1"/>
  <c r="AM76" i="57"/>
  <c r="AN67" i="57"/>
  <c r="AP140" i="57"/>
  <c r="AP141" i="57"/>
  <c r="AM73" i="57" s="1"/>
  <c r="AM85" i="57" s="1"/>
  <c r="AM99" i="57" s="1"/>
  <c r="AQ137" i="57"/>
  <c r="AM49" i="57"/>
  <c r="AS136" i="57"/>
  <c r="AO48" i="57"/>
  <c r="AM74" i="57"/>
  <c r="AN58" i="57"/>
  <c r="AM52" i="57"/>
  <c r="AM47" i="57"/>
  <c r="AM61" i="57" s="1"/>
  <c r="AM60" i="57" s="1"/>
  <c r="AA56" i="57"/>
  <c r="AA69" i="57" s="1"/>
  <c r="AA82" i="57"/>
  <c r="AL79" i="57" l="1"/>
  <c r="AL66" i="57"/>
  <c r="AL68" i="57" s="1"/>
  <c r="AM108" i="57"/>
  <c r="AM50" i="57" s="1"/>
  <c r="AM59" i="57" s="1"/>
  <c r="AN109" i="57"/>
  <c r="Y86" i="57"/>
  <c r="Y87" i="57" s="1"/>
  <c r="Y90" i="57" s="1"/>
  <c r="Y88" i="57"/>
  <c r="Y84" i="57"/>
  <c r="Y89" i="57" s="1"/>
  <c r="AO67" i="57"/>
  <c r="AN76" i="57"/>
  <c r="AT136" i="57"/>
  <c r="AU136" i="57" s="1"/>
  <c r="AV136" i="57" s="1"/>
  <c r="AW136" i="57" s="1"/>
  <c r="AX136" i="57" s="1"/>
  <c r="AY136" i="57" s="1"/>
  <c r="AP48" i="57"/>
  <c r="AR137" i="57"/>
  <c r="AN49" i="57"/>
  <c r="AL75" i="57"/>
  <c r="Z71" i="57"/>
  <c r="Z78" i="57" s="1"/>
  <c r="Z83" i="57" s="1"/>
  <c r="AC55" i="57"/>
  <c r="AD53" i="57" s="1"/>
  <c r="AO58" i="57"/>
  <c r="AN74" i="57"/>
  <c r="AN52" i="57"/>
  <c r="AN47" i="57"/>
  <c r="AN61" i="57" s="1"/>
  <c r="AN60" i="57" s="1"/>
  <c r="AA77" i="57"/>
  <c r="AA70" i="57"/>
  <c r="AQ140" i="57"/>
  <c r="Y72" i="57"/>
  <c r="AB56" i="57"/>
  <c r="AB69" i="57" s="1"/>
  <c r="AB82" i="57"/>
  <c r="Z72" i="57" l="1"/>
  <c r="AM80" i="57"/>
  <c r="AM66" i="57"/>
  <c r="AM68" i="57" s="1"/>
  <c r="AM75" i="57" s="1"/>
  <c r="AM79" i="57"/>
  <c r="AN108" i="57"/>
  <c r="AN50" i="57" s="1"/>
  <c r="AN59" i="57" s="1"/>
  <c r="AN66" i="57" s="1"/>
  <c r="AN68" i="57" s="1"/>
  <c r="AO109" i="57"/>
  <c r="AB77" i="57"/>
  <c r="AB70" i="57"/>
  <c r="AN80" i="57"/>
  <c r="AO74" i="57"/>
  <c r="AP58" i="57"/>
  <c r="AO52" i="57"/>
  <c r="AO47" i="57"/>
  <c r="AR141" i="57"/>
  <c r="AO73" i="57" s="1"/>
  <c r="AO85" i="57" s="1"/>
  <c r="AO99" i="57" s="1"/>
  <c r="AR140" i="57"/>
  <c r="Z86" i="57"/>
  <c r="Z87" i="57" s="1"/>
  <c r="Z90" i="57" s="1"/>
  <c r="Z84" i="57"/>
  <c r="Z89" i="57" s="1"/>
  <c r="Z88" i="57"/>
  <c r="AD55" i="57"/>
  <c r="AO76" i="57"/>
  <c r="AP67" i="57"/>
  <c r="AS137" i="57"/>
  <c r="AO49" i="57"/>
  <c r="AQ141" i="57"/>
  <c r="AN73" i="57" s="1"/>
  <c r="AN85" i="57" s="1"/>
  <c r="AN99" i="57" s="1"/>
  <c r="AA71" i="57"/>
  <c r="AA78" i="57" s="1"/>
  <c r="AA83" i="57" s="1"/>
  <c r="AC82" i="57"/>
  <c r="AC56" i="57"/>
  <c r="AC69" i="57" s="1"/>
  <c r="AN79" i="57" l="1"/>
  <c r="AP109" i="57"/>
  <c r="AP108" i="57" s="1"/>
  <c r="AO108" i="57"/>
  <c r="AO50" i="57" s="1"/>
  <c r="AO59" i="57" s="1"/>
  <c r="AO80" i="57" s="1"/>
  <c r="AA86" i="57"/>
  <c r="AA87" i="57" s="1"/>
  <c r="AA90" i="57" s="1"/>
  <c r="AA84" i="57"/>
  <c r="AA89" i="57" s="1"/>
  <c r="AA88" i="57"/>
  <c r="AO61" i="57"/>
  <c r="AO60" i="57" s="1"/>
  <c r="AT137" i="57"/>
  <c r="AU137" i="57" s="1"/>
  <c r="AV137" i="57" s="1"/>
  <c r="AW137" i="57" s="1"/>
  <c r="AX137" i="57" s="1"/>
  <c r="AY137" i="57" s="1"/>
  <c r="AP49" i="57"/>
  <c r="AN75" i="57"/>
  <c r="AB71" i="57"/>
  <c r="AB78" i="57" s="1"/>
  <c r="AB83" i="57" s="1"/>
  <c r="AC77" i="57"/>
  <c r="AC70" i="57"/>
  <c r="AD82" i="57"/>
  <c r="AD56" i="57"/>
  <c r="AD69" i="57" s="1"/>
  <c r="AE53" i="57"/>
  <c r="AA72" i="57"/>
  <c r="AP76" i="57"/>
  <c r="AS67" i="57"/>
  <c r="AS140" i="57"/>
  <c r="AS141" i="57"/>
  <c r="AP73" i="57" s="1"/>
  <c r="AP85" i="57" s="1"/>
  <c r="AP99" i="57" s="1"/>
  <c r="AQ99" i="57" s="1"/>
  <c r="A100" i="57" s="1"/>
  <c r="AP52" i="57"/>
  <c r="AP47" i="57"/>
  <c r="AP61" i="57" s="1"/>
  <c r="AP60" i="57" s="1"/>
  <c r="AP74" i="57"/>
  <c r="AP50" i="57" l="1"/>
  <c r="AP59" i="57" s="1"/>
  <c r="AO66" i="57"/>
  <c r="AO68" i="57" s="1"/>
  <c r="AO75" i="57" s="1"/>
  <c r="AB86" i="57"/>
  <c r="AB87" i="57" s="1"/>
  <c r="AB90" i="57" s="1"/>
  <c r="AB88" i="57"/>
  <c r="AB84" i="57"/>
  <c r="AB89" i="57" s="1"/>
  <c r="AT140" i="57"/>
  <c r="AT141" i="57"/>
  <c r="AE55" i="57"/>
  <c r="AF53" i="57" s="1"/>
  <c r="AC71" i="57"/>
  <c r="AC78" i="57" s="1"/>
  <c r="AC83" i="57" s="1"/>
  <c r="AO79" i="57"/>
  <c r="AP79" i="57" s="1"/>
  <c r="AD77" i="57"/>
  <c r="AD70" i="57"/>
  <c r="AB72" i="57"/>
  <c r="AP80" i="57"/>
  <c r="AP66" i="57"/>
  <c r="AP68" i="57" s="1"/>
  <c r="AF55" i="57" l="1"/>
  <c r="AG53" i="57" s="1"/>
  <c r="AP75" i="57"/>
  <c r="AD71" i="57"/>
  <c r="AD78" i="57" s="1"/>
  <c r="AD83" i="57" s="1"/>
  <c r="AC86" i="57"/>
  <c r="AC87" i="57" s="1"/>
  <c r="AC90" i="57" s="1"/>
  <c r="AC88" i="57"/>
  <c r="AC84" i="57"/>
  <c r="AC89" i="57" s="1"/>
  <c r="AC72" i="57"/>
  <c r="AU141" i="57"/>
  <c r="AU140" i="57"/>
  <c r="AE56" i="57"/>
  <c r="AE69" i="57" s="1"/>
  <c r="AE82" i="57"/>
  <c r="AD72" i="57" l="1"/>
  <c r="AE77" i="57"/>
  <c r="AE70" i="57"/>
  <c r="AD86" i="57"/>
  <c r="AD87" i="57" s="1"/>
  <c r="AD90" i="57" s="1"/>
  <c r="AD88" i="57"/>
  <c r="AD84" i="57"/>
  <c r="AD89" i="57" s="1"/>
  <c r="AG55" i="57"/>
  <c r="AH53" i="57" s="1"/>
  <c r="AV141" i="57"/>
  <c r="AV140" i="57"/>
  <c r="AF56" i="57"/>
  <c r="AF69" i="57" s="1"/>
  <c r="AF82" i="57"/>
  <c r="AH55" i="57" l="1"/>
  <c r="AF77" i="57"/>
  <c r="AF70" i="57"/>
  <c r="AG82" i="57"/>
  <c r="AG56" i="57"/>
  <c r="AG69" i="57" s="1"/>
  <c r="AE71" i="57"/>
  <c r="AE78" i="57" s="1"/>
  <c r="AE83" i="57" s="1"/>
  <c r="AW140" i="57"/>
  <c r="AW141" i="57"/>
  <c r="AE72" i="57" l="1"/>
  <c r="AG77" i="57"/>
  <c r="AG70" i="57"/>
  <c r="AF71" i="57"/>
  <c r="AF78" i="57" s="1"/>
  <c r="AE86" i="57"/>
  <c r="AE87" i="57" s="1"/>
  <c r="AE90" i="57" s="1"/>
  <c r="AE88" i="57"/>
  <c r="AE84" i="57"/>
  <c r="AE89" i="57" s="1"/>
  <c r="AF83" i="57"/>
  <c r="AH82" i="57"/>
  <c r="AH56" i="57"/>
  <c r="AH69" i="57" s="1"/>
  <c r="AX140" i="57"/>
  <c r="AX141" i="57"/>
  <c r="AI53" i="57"/>
  <c r="AG71" i="57" l="1"/>
  <c r="AG78" i="57" s="1"/>
  <c r="AG83" i="57" s="1"/>
  <c r="AF86" i="57"/>
  <c r="AF87" i="57" s="1"/>
  <c r="AF90" i="57" s="1"/>
  <c r="AF88" i="57"/>
  <c r="AF84" i="57"/>
  <c r="AF89" i="57" s="1"/>
  <c r="AY140" i="57"/>
  <c r="AY141" i="57" s="1"/>
  <c r="AF72" i="57"/>
  <c r="AH77" i="57"/>
  <c r="AH70" i="57"/>
  <c r="AI55" i="57"/>
  <c r="AJ53" i="57"/>
  <c r="AG86" i="57" l="1"/>
  <c r="AG87" i="57" s="1"/>
  <c r="AG90" i="57" s="1"/>
  <c r="AG84" i="57"/>
  <c r="AG89" i="57" s="1"/>
  <c r="AG88" i="57"/>
  <c r="AI82" i="57"/>
  <c r="AI56" i="57"/>
  <c r="AI69" i="57" s="1"/>
  <c r="AH71" i="57"/>
  <c r="AH78" i="57" s="1"/>
  <c r="AH83" i="57" s="1"/>
  <c r="AH72" i="57"/>
  <c r="AJ55" i="57"/>
  <c r="AG72" i="57"/>
  <c r="AH86" i="57" l="1"/>
  <c r="AH87" i="57" s="1"/>
  <c r="AH90" i="57" s="1"/>
  <c r="AH84" i="57"/>
  <c r="AH89" i="57" s="1"/>
  <c r="AH88" i="57"/>
  <c r="AJ56" i="57"/>
  <c r="AJ69" i="57" s="1"/>
  <c r="AJ82" i="57"/>
  <c r="AK53" i="57"/>
  <c r="AI77" i="57"/>
  <c r="AI70" i="57"/>
  <c r="AI71" i="57" l="1"/>
  <c r="AI78" i="57" s="1"/>
  <c r="AI83" i="57" s="1"/>
  <c r="AJ77" i="57"/>
  <c r="AJ70" i="57"/>
  <c r="AK55" i="57"/>
  <c r="AL53" i="57" s="1"/>
  <c r="AI72" i="57" l="1"/>
  <c r="AJ71" i="57"/>
  <c r="AJ78" i="57" s="1"/>
  <c r="AJ83" i="57" s="1"/>
  <c r="AJ72" i="57"/>
  <c r="AK56" i="57"/>
  <c r="AK69" i="57" s="1"/>
  <c r="AK82" i="57"/>
  <c r="AL55" i="57"/>
  <c r="AM53" i="57" s="1"/>
  <c r="AI86" i="57"/>
  <c r="AI87" i="57" s="1"/>
  <c r="AI90" i="57" s="1"/>
  <c r="AI84" i="57"/>
  <c r="AI89" i="57" s="1"/>
  <c r="AI88" i="57"/>
  <c r="AJ86" i="57" l="1"/>
  <c r="AJ87" i="57" s="1"/>
  <c r="AJ90" i="57" s="1"/>
  <c r="AJ88" i="57"/>
  <c r="AJ84" i="57"/>
  <c r="AJ89" i="57" s="1"/>
  <c r="AK77" i="57"/>
  <c r="AK70" i="57"/>
  <c r="AL82" i="57"/>
  <c r="AL56" i="57"/>
  <c r="AL69" i="57" s="1"/>
  <c r="AM55" i="57"/>
  <c r="AM82" i="57" l="1"/>
  <c r="AM56" i="57"/>
  <c r="AM69" i="57" s="1"/>
  <c r="AN53" i="57"/>
  <c r="AL77" i="57"/>
  <c r="AL70" i="57"/>
  <c r="AK71" i="57"/>
  <c r="AK78" i="57" s="1"/>
  <c r="AK83" i="57" s="1"/>
  <c r="AK86" i="57" l="1"/>
  <c r="AK87" i="57" s="1"/>
  <c r="AK90" i="57" s="1"/>
  <c r="AK88" i="57"/>
  <c r="AK84" i="57"/>
  <c r="AK89" i="57" s="1"/>
  <c r="AK72" i="57"/>
  <c r="AN55" i="57"/>
  <c r="AO53" i="57"/>
  <c r="AM77" i="57"/>
  <c r="AM70" i="57"/>
  <c r="AL71" i="57"/>
  <c r="AL78" i="57" s="1"/>
  <c r="AL83" i="57" s="1"/>
  <c r="AL72" i="57"/>
  <c r="AL86" i="57" l="1"/>
  <c r="AL87" i="57" s="1"/>
  <c r="AL90" i="57" s="1"/>
  <c r="AL88" i="57"/>
  <c r="AL84" i="57"/>
  <c r="AL89" i="57" s="1"/>
  <c r="AO55" i="57"/>
  <c r="AM71" i="57"/>
  <c r="AM78" i="57" s="1"/>
  <c r="AM83" i="57" s="1"/>
  <c r="AN82" i="57"/>
  <c r="AN56" i="57"/>
  <c r="AN69" i="57" s="1"/>
  <c r="AM86" i="57" l="1"/>
  <c r="AM87" i="57" s="1"/>
  <c r="AM90" i="57" s="1"/>
  <c r="AM88" i="57"/>
  <c r="AM84" i="57"/>
  <c r="AM89" i="57" s="1"/>
  <c r="AN77" i="57"/>
  <c r="AN70" i="57"/>
  <c r="AO82" i="57"/>
  <c r="AO56" i="57"/>
  <c r="AO69" i="57" s="1"/>
  <c r="AM72" i="57"/>
  <c r="AP53" i="57"/>
  <c r="AP55" i="57" s="1"/>
  <c r="AO77" i="57" l="1"/>
  <c r="AO70" i="57"/>
  <c r="AP82" i="57"/>
  <c r="AP56" i="57"/>
  <c r="AP69" i="57" s="1"/>
  <c r="AN71" i="57"/>
  <c r="AN78" i="57" s="1"/>
  <c r="AN83" i="57" s="1"/>
  <c r="AN86" i="57" l="1"/>
  <c r="AN87" i="57" s="1"/>
  <c r="AN90" i="57" s="1"/>
  <c r="AN84" i="57"/>
  <c r="AN89" i="57" s="1"/>
  <c r="AN88" i="57"/>
  <c r="AN72" i="57"/>
  <c r="AO71" i="57"/>
  <c r="AO78" i="57" s="1"/>
  <c r="AO83" i="57" s="1"/>
  <c r="AP77" i="57"/>
  <c r="AP70" i="57"/>
  <c r="AO86" i="57" l="1"/>
  <c r="AO87" i="57" s="1"/>
  <c r="AO90" i="57" s="1"/>
  <c r="AO88" i="57"/>
  <c r="AO84" i="57"/>
  <c r="AO89" i="57" s="1"/>
  <c r="AP71" i="57"/>
  <c r="AP78" i="57" s="1"/>
  <c r="AP83" i="57" s="1"/>
  <c r="AO72" i="57"/>
  <c r="AP72" i="57" l="1"/>
  <c r="AP86" i="57"/>
  <c r="AP87" i="57" s="1"/>
  <c r="AP84" i="57"/>
  <c r="AP89" i="57" s="1"/>
  <c r="AP88" i="57"/>
  <c r="A101" i="57" l="1"/>
  <c r="B102" i="57" s="1"/>
  <c r="AP90" i="57"/>
</calcChain>
</file>

<file path=xl/sharedStrings.xml><?xml version="1.0" encoding="utf-8"?>
<sst xmlns="http://schemas.openxmlformats.org/spreadsheetml/2006/main" count="1232" uniqueCount="744">
  <si>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</si>
  <si>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</si>
  <si>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</si>
  <si>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</si>
  <si>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</si>
  <si>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</si>
  <si>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</si>
  <si>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</si>
  <si>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</si>
  <si>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</si>
  <si>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</si>
  <si>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</si>
  <si>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</si>
  <si>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</si>
  <si>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</si>
  <si>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</si>
  <si>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</si>
  <si>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</si>
  <si>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</si>
  <si>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</si>
  <si>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</si>
  <si>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</si>
  <si>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</si>
  <si>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</si>
  <si>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</si>
  <si>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</si>
  <si>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</si>
  <si>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</si>
  <si>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</si>
  <si>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</si>
  <si>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</si>
  <si>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</si>
  <si>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</si>
  <si>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</si>
  <si>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</si>
  <si>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</si>
  <si>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</si>
  <si>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</si>
  <si>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</si>
  <si>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</si>
  <si>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</si>
  <si>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</si>
  <si>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</si>
  <si>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</si>
  <si>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</si>
  <si>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</si>
  <si>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</si>
  <si>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</si>
  <si>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</si>
  <si>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</si>
  <si>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</si>
  <si>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</si>
  <si>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</si>
  <si>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</si>
  <si>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</si>
  <si>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</si>
  <si>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</si>
  <si>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</si>
  <si>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</si>
  <si>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</si>
  <si>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</si>
  <si>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</si>
  <si>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</si>
  <si>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</si>
  <si>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</si>
  <si>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</si>
  <si>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</si>
  <si>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</si>
  <si>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</si>
  <si>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</si>
  <si>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</si>
  <si>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</si>
  <si>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</si>
  <si>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</si>
  <si>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</si>
  <si>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</si>
  <si>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</si>
  <si>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</si>
  <si>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</si>
  <si>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</si>
  <si>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</si>
  <si>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</si>
  <si>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</si>
  <si>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</si>
  <si>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</si>
  <si>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</si>
  <si>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</si>
  <si>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</si>
  <si>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</si>
  <si>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</si>
  <si>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</si>
  <si>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</si>
  <si>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</si>
  <si>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</si>
  <si>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</si>
  <si>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</si>
  <si>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</si>
  <si>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</si>
  <si>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</si>
  <si>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</si>
  <si>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</si>
  <si>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</si>
  <si>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</si>
  <si>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</si>
  <si>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</si>
  <si>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</si>
  <si>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</si>
  <si>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</si>
  <si>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</si>
  <si>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</si>
  <si>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</si>
  <si>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</si>
  <si>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</si>
  <si>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</si>
  <si>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</si>
  <si>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</si>
  <si>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</si>
  <si>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</si>
  <si>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</si>
  <si>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</si>
  <si>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</si>
  <si>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</si>
  <si>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</si>
  <si>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</si>
  <si>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</si>
  <si>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</si>
  <si>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</si>
  <si>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</si>
  <si>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</si>
  <si>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</si>
  <si>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</si>
  <si>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</si>
  <si>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</si>
  <si>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</si>
  <si>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</si>
  <si>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</si>
  <si>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</si>
  <si>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</si>
  <si>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</si>
  <si>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</si>
  <si>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</si>
  <si>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</si>
  <si>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</si>
  <si>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</si>
  <si>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</si>
  <si>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</si>
  <si>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</si>
  <si>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</si>
  <si>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</si>
  <si>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</si>
  <si>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</si>
  <si>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</si>
  <si>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</si>
  <si>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</si>
  <si>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</si>
  <si>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</si>
  <si>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</si>
  <si>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</si>
  <si>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</si>
  <si>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</si>
  <si>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</si>
  <si>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</si>
  <si>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</si>
  <si>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</si>
  <si>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</si>
  <si>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</si>
  <si>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</si>
  <si>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</si>
  <si>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</si>
  <si>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</si>
  <si>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</si>
  <si>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</si>
  <si>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</si>
  <si>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</si>
  <si>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</si>
  <si>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</si>
  <si>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</si>
  <si>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</si>
  <si>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</si>
  <si>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</si>
  <si>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</si>
  <si>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</si>
  <si>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</si>
  <si>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</si>
  <si>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</si>
  <si>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</si>
  <si>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</si>
  <si>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</si>
  <si>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</si>
  <si>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</si>
  <si>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</si>
  <si>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</si>
  <si>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</si>
  <si>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</si>
  <si>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</si>
  <si>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</si>
  <si>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</si>
  <si>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</si>
  <si>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</si>
  <si>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</si>
  <si>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</si>
  <si>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</si>
  <si>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</si>
  <si>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</si>
  <si>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</si>
  <si>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</si>
  <si>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</si>
  <si>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</si>
  <si>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</si>
  <si>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</si>
  <si>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</si>
  <si>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</si>
  <si>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</si>
  <si>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</si>
  <si>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</si>
  <si>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</si>
  <si>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</si>
  <si>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</si>
  <si>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</si>
  <si>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</si>
  <si>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</si>
  <si>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</si>
  <si>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</si>
  <si>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</si>
  <si>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</si>
  <si>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</si>
  <si>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</si>
  <si>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</si>
  <si>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</si>
  <si>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</si>
  <si>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</si>
  <si>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</si>
  <si>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</si>
  <si>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</si>
  <si>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</si>
  <si>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</si>
  <si>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</si>
  <si>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</si>
  <si>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</si>
  <si>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</si>
  <si>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</si>
  <si>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</si>
  <si>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</si>
  <si>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</si>
  <si>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</si>
  <si>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</si>
  <si>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</si>
  <si>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</si>
  <si>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</si>
  <si>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</si>
  <si>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</si>
  <si>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</si>
  <si>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</si>
  <si>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</si>
  <si>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</si>
  <si>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</si>
  <si>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</si>
  <si>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</si>
  <si>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</si>
  <si>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</si>
  <si>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</si>
  <si>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</si>
  <si>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</si>
  <si>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</si>
  <si>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</si>
  <si>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</si>
  <si>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</si>
  <si>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</si>
  <si>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</si>
  <si>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</si>
  <si>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</si>
  <si>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</si>
  <si>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</si>
  <si>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</si>
  <si>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</si>
  <si>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</si>
  <si>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</si>
  <si>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</si>
  <si>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</si>
  <si>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</si>
  <si>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</si>
  <si>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</si>
  <si>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</si>
  <si>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</si>
  <si>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</si>
  <si>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</si>
  <si>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</si>
  <si>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</si>
  <si>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</si>
  <si>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</si>
  <si>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</si>
  <si>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</si>
  <si>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</si>
  <si>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</si>
  <si>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</si>
  <si>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</si>
  <si>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</si>
  <si>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</si>
  <si>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</si>
  <si>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</si>
  <si>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</si>
  <si>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</si>
  <si>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</si>
  <si>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</si>
  <si>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</si>
  <si>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</si>
  <si>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</si>
  <si>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</si>
  <si>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</si>
  <si>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</si>
  <si>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</si>
  <si>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</si>
  <si>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</si>
  <si>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</si>
  <si>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</si>
  <si>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</si>
  <si>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</si>
  <si>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</si>
  <si>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</si>
  <si>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</si>
  <si>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</si>
  <si>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</si>
  <si>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</si>
  <si>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</si>
  <si>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</si>
  <si>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</si>
  <si>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</si>
  <si>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</si>
  <si>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</si>
  <si>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</si>
  <si>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</si>
  <si>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</si>
  <si>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</si>
  <si>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</si>
  <si>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</si>
  <si>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</si>
  <si>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</si>
  <si>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</si>
  <si>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</si>
  <si>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</si>
  <si>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</si>
  <si>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</si>
  <si>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</si>
  <si>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</si>
  <si>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</si>
  <si>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</si>
  <si>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</si>
  <si>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</si>
  <si>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</si>
  <si>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</si>
  <si>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</si>
  <si>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</si>
  <si>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</si>
  <si>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</si>
  <si>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</si>
  <si>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</si>
  <si>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</si>
  <si>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</si>
  <si>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</si>
  <si>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</si>
  <si>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</si>
  <si>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</si>
  <si>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</si>
  <si>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</si>
  <si>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</si>
  <si>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</si>
  <si>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</si>
  <si>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</si>
  <si>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</si>
  <si>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</si>
  <si>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</si>
  <si>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</si>
  <si>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</si>
  <si>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</si>
  <si>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</si>
  <si>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</si>
  <si>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</si>
  <si>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</si>
  <si>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</si>
  <si>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</si>
  <si>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</si>
  <si>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</si>
  <si>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</si>
  <si>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</si>
  <si>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</si>
  <si>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</si>
  <si>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</si>
  <si>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</si>
  <si>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</si>
  <si>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</si>
  <si>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</si>
  <si>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</si>
  <si>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</si>
  <si>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</si>
  <si>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</si>
  <si>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</si>
  <si>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</si>
  <si>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</si>
  <si>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</si>
  <si>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</si>
  <si>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</si>
  <si>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</si>
  <si>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</si>
  <si>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</si>
  <si>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</si>
  <si>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</si>
  <si>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</si>
  <si>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</si>
  <si>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</si>
  <si>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</si>
  <si>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</si>
  <si>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</si>
  <si>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</si>
  <si>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</si>
  <si>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</si>
  <si>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</si>
  <si>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</si>
  <si>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</si>
  <si>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</si>
  <si>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</si>
  <si>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</si>
  <si>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</si>
  <si>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</si>
  <si>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</si>
  <si>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</si>
  <si>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</si>
  <si>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</si>
  <si>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</si>
  <si>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</si>
  <si>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</si>
  <si>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</si>
  <si>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</si>
  <si>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</si>
  <si>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</si>
  <si>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</si>
  <si>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</si>
  <si>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</si>
  <si>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</si>
  <si>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</si>
  <si>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</si>
  <si>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</si>
  <si>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</si>
  <si>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</si>
  <si>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</si>
  <si>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</si>
  <si>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</si>
  <si>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</si>
  <si>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</si>
  <si>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</si>
  <si>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</si>
  <si>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</si>
  <si>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</si>
  <si>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</si>
  <si>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</si>
  <si>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</si>
  <si>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</si>
  <si>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</si>
  <si>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</si>
  <si>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</si>
  <si>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</si>
  <si>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</si>
  <si>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</si>
  <si>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</si>
  <si>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</si>
  <si>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</si>
  <si>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</si>
  <si>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</si>
  <si>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</si>
  <si>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</si>
  <si>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</si>
  <si>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</si>
  <si>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</si>
  <si>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</si>
  <si>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</si>
  <si>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</si>
  <si>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</si>
  <si>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</si>
  <si>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</si>
  <si>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</si>
  <si>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</si>
  <si>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</si>
  <si>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</si>
  <si>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</si>
  <si>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</si>
  <si>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</si>
  <si>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</si>
  <si>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</si>
  <si>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</si>
  <si>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</si>
  <si>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</si>
  <si>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</si>
  <si>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</si>
  <si>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</si>
  <si>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</si>
  <si>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</si>
  <si>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</si>
  <si>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</si>
  <si>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</si>
  <si>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</si>
  <si>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</si>
  <si>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</si>
  <si>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</si>
  <si>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</si>
  <si>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</si>
  <si>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</si>
  <si>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</si>
  <si>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</si>
  <si>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</si>
  <si>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</si>
  <si>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</si>
  <si>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</si>
  <si>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</si>
  <si>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</si>
  <si>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</si>
  <si>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</si>
  <si>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</si>
  <si>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</si>
  <si>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</si>
  <si>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</si>
  <si>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</si>
  <si>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</si>
  <si>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</si>
  <si>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</si>
  <si>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</si>
  <si>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</si>
  <si>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</si>
  <si>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</si>
  <si>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</si>
  <si>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</si>
  <si>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</si>
  <si>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</si>
  <si>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</si>
  <si>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</si>
  <si>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</si>
  <si>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</si>
  <si>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</si>
  <si>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</si>
  <si>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</si>
  <si>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</si>
  <si>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</si>
  <si>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</si>
  <si>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</si>
  <si>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</si>
  <si>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</si>
  <si>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</si>
  <si>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</si>
  <si>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</si>
  <si>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</si>
  <si>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</si>
  <si>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</si>
  <si>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</si>
  <si>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</si>
  <si>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</si>
  <si>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</si>
  <si>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</si>
  <si>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</si>
  <si>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</si>
  <si>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</si>
  <si>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</si>
  <si>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</si>
  <si>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</si>
  <si>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</si>
  <si>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</si>
  <si>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</si>
  <si>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</si>
  <si>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</si>
  <si>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</si>
  <si>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</si>
  <si>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</si>
  <si>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</si>
  <si>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</si>
  <si>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</si>
  <si>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</si>
  <si>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</si>
  <si>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</si>
  <si>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</si>
  <si>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</si>
  <si>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</si>
  <si>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</si>
  <si>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</si>
  <si>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</si>
  <si>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</si>
  <si>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</si>
  <si>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</si>
  <si>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</si>
  <si>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</si>
  <si>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</si>
  <si>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</si>
  <si>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</si>
  <si>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</si>
  <si>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</si>
  <si>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</si>
  <si>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</si>
  <si>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</si>
  <si>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</si>
  <si>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</si>
  <si>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</si>
  <si>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</si>
  <si>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</si>
  <si>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</si>
  <si>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</si>
  <si>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</si>
  <si>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</si>
  <si>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</si>
  <si>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</si>
  <si>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</si>
  <si>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</si>
  <si>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</si>
  <si>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</si>
  <si>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</si>
  <si>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</si>
  <si>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</si>
  <si>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</si>
  <si>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</si>
  <si>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</si>
  <si>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</si>
  <si>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</si>
  <si>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</si>
  <si>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</si>
  <si>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</si>
  <si>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</si>
  <si>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</si>
  <si>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</si>
  <si>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</si>
  <si>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</si>
  <si>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</si>
  <si>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</si>
  <si>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</si>
  <si>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</si>
  <si>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</si>
  <si>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</si>
  <si>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</si>
  <si>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</si>
  <si>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</si>
  <si>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</si>
  <si>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</si>
  <si>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</si>
  <si>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</si>
  <si>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</si>
  <si>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</si>
  <si>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</si>
  <si>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</si>
  <si>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</si>
  <si>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</si>
  <si>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2020 год</t>
  </si>
  <si>
    <t>нд</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</si>
  <si>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</si>
  <si>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</si>
  <si>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</si>
  <si>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</si>
  <si>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</si>
  <si>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</si>
  <si>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</si>
  <si>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</si>
  <si>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</si>
  <si>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</si>
  <si>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новое строительство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</si>
  <si>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</si>
  <si>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</si>
  <si>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</si>
  <si>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</si>
  <si>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</si>
  <si>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</si>
  <si>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</si>
  <si>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</si>
  <si>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</si>
  <si>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</si>
  <si>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</si>
  <si>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</si>
  <si>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</si>
  <si>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</si>
  <si>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</si>
  <si>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Возможно реализовать в установленный срок</t>
  </si>
  <si>
    <t>0.4 кВ</t>
  </si>
  <si>
    <t>С</t>
  </si>
  <si>
    <t>строительство</t>
  </si>
  <si>
    <t>В КС...</t>
  </si>
  <si>
    <t>Т-1</t>
  </si>
  <si>
    <t>ж/б</t>
  </si>
  <si>
    <t>I_17-1850</t>
  </si>
  <si>
    <t>Строительство ТП 15/0,4 кВ, ЛЭП 15 кВ от ВЛ 15-06 (инв.5115422) п. Яблоневка Гурьевский ГО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</si>
  <si>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</si>
  <si>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4346/06/17 от 14.08.2017</t>
  </si>
  <si>
    <t>236005, Калининградская обл, Гурьевский р-н, Яблоневка п</t>
  </si>
  <si>
    <t>Нежилое здание</t>
  </si>
  <si>
    <t xml:space="preserve">Нижние контакты стойки ПН в РУ 0,4 кВ ТП 15/0,4 кВ (10.1) </t>
  </si>
  <si>
    <t>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с трансформатором потребной мощности (тип ТП, оборудования определить на стадии проектирования)., Выполнить проектирование, монтаж ЛЭП-15 кВ (ориентировочно 0,3 км) от опоры № 72 (уточнить при проектировании) ВЛ 15-06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 Для усиления существующей питающей сети:
10.3. От ПС 110/15 кВ О-1 до оп. № 1 ВЛ 15-06  проложить КЛ 15 кВ сечением токопроводящих жил не менее 185 кв.мм взамен существующей КЛ 15 кВ сечением 70 кв.мм (протяженность 100 м).</t>
  </si>
  <si>
    <t>ВЛ 15 кВ 15-06</t>
  </si>
  <si>
    <t>Договор технологического присоединения № 4346/06/17 от 14.08.2017; 
Постановление Правительства Российской Федерации от 27 декабря 2004 г. № 861;
Техническое задание № Z/СЭРС/009079/2017-25.</t>
  </si>
  <si>
    <t>УР</t>
  </si>
  <si>
    <t>ВЗ</t>
  </si>
  <si>
    <t xml:space="preserve"> 31705836488 </t>
  </si>
  <si>
    <t>rosseti.ru</t>
  </si>
  <si>
    <t>0,4 (0,4) МВА; 0,02 (0,02) км</t>
  </si>
  <si>
    <t>ООО "ДИВЕК-проект" договор ПИР № 909 от 10.07.2018 в ценах 2018 года без НДС, млн. руб.</t>
  </si>
  <si>
    <t>ООО "ДИВЕК-проект" договор ПИР № 909 от 10.07.2018</t>
  </si>
  <si>
    <t>ООО "Элмонт" договор 534Э от 29.05.2018 в ценах 2018 года с НДС, млн. руб.</t>
  </si>
  <si>
    <t>Сметная стоимость проекта в ценах 2019 года с НДС, млн. руб.</t>
  </si>
  <si>
    <t>не требуется хоз.способ</t>
  </si>
  <si>
    <t>ПИР</t>
  </si>
  <si>
    <t>Разработка рабочей документации по объекту «Строительство ТП 15/0,4 кВ, ЛЭП 15 кВ от ВЛ 15-06 (инв.5115422) п. Яблоневка Гурьевский ГО».</t>
  </si>
  <si>
    <t>СЦ</t>
  </si>
  <si>
    <t>ООО "Дивек-проект"</t>
  </si>
  <si>
    <t>ООО "РосСтройТрест"</t>
  </si>
  <si>
    <t>ИИП Гвритишвили</t>
  </si>
  <si>
    <t>МТРиО</t>
  </si>
  <si>
    <t>Право заключения рамочного договора на поставку силовых трансформаторов напряжением 6-20 кВ для нужд ТП (складской запас)</t>
  </si>
  <si>
    <t>ПСД</t>
  </si>
  <si>
    <t>ООК</t>
  </si>
  <si>
    <t>"Элмонт" ООО</t>
  </si>
  <si>
    <t>995060</t>
  </si>
  <si>
    <t>b2b-mrsk.ru</t>
  </si>
  <si>
    <t>29.05.2018</t>
  </si>
  <si>
    <t>Переторжка не проводилась. Заключается рамочный договор с лимитом финансирования.</t>
  </si>
  <si>
    <t>ИП Калмыков А.И.</t>
  </si>
  <si>
    <t>"ПУСКОВОЙ ЭЛЕМЕНТ" АО</t>
  </si>
  <si>
    <t>"Энлико" ООО</t>
  </si>
  <si>
    <t>"ГК "Электрощит"-ТМ Самара" ЗАО</t>
  </si>
  <si>
    <t>ИП Калмыков А.И.  Договор №921 от 13.10.2020  в ценах 2020 года с НДС, млн. руб.</t>
  </si>
  <si>
    <t>ИП Калмыков А.И.  Договор №921 от 13.10.2020</t>
  </si>
  <si>
    <t>Поставка силовых трансформаторов напряжением 6-20 кВ для выполнения работ по технологическому присоединению</t>
  </si>
  <si>
    <t>мониторинг цен</t>
  </si>
  <si>
    <t>ЗП</t>
  </si>
  <si>
    <t xml:space="preserve">https://rosseti.roseltorg.ru/ </t>
  </si>
  <si>
    <t>13.10.2020</t>
  </si>
  <si>
    <t>15.10.2020</t>
  </si>
  <si>
    <t>"Энергологика" ООО</t>
  </si>
  <si>
    <t>"Энекси" ООО</t>
  </si>
  <si>
    <t>2021</t>
  </si>
  <si>
    <t xml:space="preserve"> по состоянию на 01.01.2020</t>
  </si>
  <si>
    <t xml:space="preserve"> по состоянию на 01.01.2021</t>
  </si>
  <si>
    <t xml:space="preserve">факт 2020 года </t>
  </si>
  <si>
    <t>2021 год</t>
  </si>
  <si>
    <t>2022 год</t>
  </si>
  <si>
    <t>2023 год</t>
  </si>
  <si>
    <t>ТМГ12-250/15-У1</t>
  </si>
  <si>
    <t>ВЛ 15 кВ 15-06 оп. 71А-1 до МТП новая</t>
  </si>
  <si>
    <t>МТП новая</t>
  </si>
  <si>
    <t>Строительство МТП 15/0,4 кВ с трансформатором 0,25 МВА, ЛЭП 15 кВ от ВЛ 15-06 (инв.5115422) протяженностью 0,02 км в п. Яблоневка Гурьевский ГО</t>
  </si>
  <si>
    <t>ВЛ 15 кВ 7,768 млн.руб./км 
ТП 4,135 млн.руб./МВА</t>
  </si>
  <si>
    <t>21.09.2018
29.04.2021</t>
  </si>
  <si>
    <t>ПСД, утв. Приказом 183 от 29.04.2021</t>
  </si>
  <si>
    <t>КТП 15/0,4 кВ с трансформатором 0,25 МВА</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</si>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</sst>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42" fillId="0" borderId="1" xfId="2" applyFont="1" applyFill="1" applyBorder="1" applyAlignment="1">
      <alignment horizontal="center"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7" fillId="0" borderId="1" xfId="49" applyNumberFormat="1" applyFont="1" applyBorder="1" applyAlignment="1">
      <alignment horizontal="center" vertical="center"/>
    </xf>
    <xf numFmtId="0" fontId="11" fillId="0" borderId="55" xfId="62" applyNumberFormat="1" applyFont="1" applyBorder="1" applyAlignment="1">
      <alignment vertical="center" wrapText="1"/>
    </xf>
    <xf numFmtId="0" fontId="71" fillId="0" borderId="46" xfId="1" applyFont="1" applyBorder="1" applyAlignment="1">
      <alignment horizontal="left" vertical="top" wrapText="1"/>
    </xf>
    <xf numFmtId="0" fontId="11" fillId="0" borderId="56" xfId="62" applyFont="1" applyBorder="1" applyAlignment="1">
      <alignment horizontal="center" vertical="center" wrapText="1"/>
    </xf>
    <xf numFmtId="0" fontId="11" fillId="0" borderId="56" xfId="1" applyFont="1" applyBorder="1" applyAlignment="1">
      <alignment vertical="center" wrapText="1"/>
    </xf>
    <xf numFmtId="0" fontId="11" fillId="0" borderId="1" xfId="2" applyFont="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10" fontId="36" fillId="29" borderId="56" xfId="67" applyNumberFormat="1" applyFont="1" applyFill="1" applyBorder="1" applyAlignment="1">
      <alignment vertical="center"/>
    </xf>
    <xf numFmtId="3" fontId="7" fillId="29" borderId="56" xfId="67" applyNumberFormat="1" applyFont="1" applyFill="1" applyBorder="1" applyAlignment="1">
      <alignment horizontal="right" vertical="center"/>
    </xf>
    <xf numFmtId="168" fontId="36" fillId="29" borderId="56"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3" fillId="0" borderId="56" xfId="1" applyFill="1" applyBorder="1" applyAlignment="1">
      <alignment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xf>
    <xf numFmtId="168" fontId="36" fillId="0" borderId="0" xfId="49" applyNumberFormat="1" applyFont="1"/>
    <xf numFmtId="168" fontId="37" fillId="0" borderId="56" xfId="49" applyNumberFormat="1" applyFont="1" applyBorder="1" applyAlignment="1">
      <alignment horizontal="center" vertical="center" wrapText="1"/>
    </xf>
    <xf numFmtId="1"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7" fontId="11" fillId="0" borderId="0" xfId="2" applyNumberFormat="1" applyFont="1"/>
    <xf numFmtId="0" fontId="11" fillId="0" borderId="56" xfId="62"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3"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-299936.86710007599</c:v>
                </c:pt>
                <c:pt idx="1">
                  <c:v>271897.44708673708</c:v>
                </c:pt>
                <c:pt idx="2">
                  <c:v>472693.21963482373</c:v>
                </c:pt>
                <c:pt idx="3">
                  <c:v>620433.44725525833</c:v>
                </c:pt>
                <c:pt idx="4">
                  <c:v>536311.75099270639</c:v>
                </c:pt>
                <c:pt idx="5">
                  <c:v>463602.4900192378</c:v>
                </c:pt>
                <c:pt idx="6">
                  <c:v>400756.23934287421</c:v>
                </c:pt>
                <c:pt idx="7">
                  <c:v>346434.12853733491</c:v>
                </c:pt>
                <c:pt idx="8">
                  <c:v>299479.19603655377</c:v>
                </c:pt>
                <c:pt idx="9">
                  <c:v>258891.64623446655</c:v>
                </c:pt>
                <c:pt idx="10">
                  <c:v>223807.47671073288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-299936.86710007599</c:v>
                </c:pt>
                <c:pt idx="1">
                  <c:v>-28039.420013338909</c:v>
                </c:pt>
                <c:pt idx="2">
                  <c:v>444653.79962148482</c:v>
                </c:pt>
                <c:pt idx="3">
                  <c:v>1065087.2468767432</c:v>
                </c:pt>
                <c:pt idx="4">
                  <c:v>1601398.9978694497</c:v>
                </c:pt>
                <c:pt idx="5">
                  <c:v>2065001.4878886875</c:v>
                </c:pt>
                <c:pt idx="6">
                  <c:v>2465757.7272315617</c:v>
                </c:pt>
                <c:pt idx="7">
                  <c:v>2812191.8557688966</c:v>
                </c:pt>
                <c:pt idx="8">
                  <c:v>3111671.0518054506</c:v>
                </c:pt>
                <c:pt idx="9">
                  <c:v>3370562.6980399173</c:v>
                </c:pt>
                <c:pt idx="10">
                  <c:v>3594370.1747506503</c:v>
                </c:pt>
              </c:numCache>
            </c:numRef>
          </c:val>
          <c:smooth val="0"/>
        </c:ser>
        <c:dLbls>
          <c:showLegendKey val="0"/>
          <c:showVal val="0"/>
          <c:showCatName val="0"/>
          <c:showSerName val="0"/>
          <c:showPercent val="0"/>
          <c:showBubbleSize val="0"/>
        </c:dLbls>
        <c:smooth val="0"/>
        <c:axId val="313420952"/>
        <c:axId val="313440160"/>
      </c:lineChart>
      <c:catAx>
        <c:axId val="31342095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40160"/>
        <c:crosses val="autoZero"/>
        <c:auto val="1"/>
        <c:lblAlgn val="ctr"/>
        <c:lblOffset val="100"/>
        <c:noMultiLvlLbl val="0"/>
      </c:catAx>
      <c:valAx>
        <c:axId val="313440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209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313436632"/>
        <c:axId val="313440944"/>
      </c:lineChart>
      <c:catAx>
        <c:axId val="313436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40944"/>
        <c:crosses val="autoZero"/>
        <c:auto val="1"/>
        <c:lblAlgn val="ctr"/>
        <c:lblOffset val="100"/>
        <c:noMultiLvlLbl val="0"/>
      </c:catAx>
      <c:valAx>
        <c:axId val="31344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366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hidden="1"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5" customFormat="1" ht="18.75" customHeight="1" x14ac:dyDescent="0.2">
      <c r="A1" s="281"/>
      <c r="C1" s="282" t="s">
        <v>66</v>
      </c>
    </row>
    <row r="2" spans="1:22" s="15" customFormat="1" ht="18.75" customHeight="1" x14ac:dyDescent="0.3">
      <c r="A2" s="281"/>
      <c r="C2" s="283" t="s">
        <v>8</v>
      </c>
    </row>
    <row r="3" spans="1:22" s="15" customFormat="1" ht="18.75" x14ac:dyDescent="0.3">
      <c r="A3" s="284"/>
      <c r="C3" s="283" t="s">
        <v>65</v>
      </c>
    </row>
    <row r="4" spans="1:22" s="15" customFormat="1" ht="18.75" x14ac:dyDescent="0.3">
      <c r="A4" s="284"/>
      <c r="H4" s="283"/>
    </row>
    <row r="5" spans="1:22" s="15" customFormat="1" ht="15.75" x14ac:dyDescent="0.25">
      <c r="A5" s="415" t="s">
        <v>743</v>
      </c>
      <c r="B5" s="415"/>
      <c r="C5" s="415"/>
      <c r="D5" s="160"/>
      <c r="E5" s="160"/>
      <c r="F5" s="160"/>
      <c r="G5" s="160"/>
      <c r="H5" s="160"/>
      <c r="I5" s="160"/>
      <c r="J5" s="160"/>
    </row>
    <row r="6" spans="1:22" s="15" customFormat="1" ht="18.75" x14ac:dyDescent="0.3">
      <c r="A6" s="284"/>
      <c r="H6" s="283"/>
    </row>
    <row r="7" spans="1:22" s="15" customFormat="1" ht="18.75" x14ac:dyDescent="0.2">
      <c r="A7" s="419" t="s">
        <v>7</v>
      </c>
      <c r="B7" s="419"/>
      <c r="C7" s="419"/>
      <c r="D7" s="285"/>
      <c r="E7" s="285"/>
      <c r="F7" s="285"/>
      <c r="G7" s="285"/>
      <c r="H7" s="285"/>
      <c r="I7" s="285"/>
      <c r="J7" s="285"/>
      <c r="K7" s="285"/>
      <c r="L7" s="285"/>
      <c r="M7" s="285"/>
      <c r="N7" s="285"/>
      <c r="O7" s="285"/>
      <c r="P7" s="285"/>
      <c r="Q7" s="285"/>
      <c r="R7" s="285"/>
      <c r="S7" s="285"/>
      <c r="T7" s="285"/>
      <c r="U7" s="285"/>
      <c r="V7" s="285"/>
    </row>
    <row r="8" spans="1:22" s="15"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5" customFormat="1" ht="18.75" x14ac:dyDescent="0.2">
      <c r="A9" s="420" t="s">
        <v>572</v>
      </c>
      <c r="B9" s="420"/>
      <c r="C9" s="420"/>
      <c r="D9" s="287"/>
      <c r="E9" s="287"/>
      <c r="F9" s="287"/>
      <c r="G9" s="287"/>
      <c r="H9" s="287"/>
      <c r="I9" s="285"/>
      <c r="J9" s="285"/>
      <c r="K9" s="285"/>
      <c r="L9" s="285"/>
      <c r="M9" s="285"/>
      <c r="N9" s="285"/>
      <c r="O9" s="285"/>
      <c r="P9" s="285"/>
      <c r="Q9" s="285"/>
      <c r="R9" s="285"/>
      <c r="S9" s="285"/>
      <c r="T9" s="285"/>
      <c r="U9" s="285"/>
      <c r="V9" s="285"/>
    </row>
    <row r="10" spans="1:22" s="15" customFormat="1" ht="18.75" x14ac:dyDescent="0.2">
      <c r="A10" s="416" t="s">
        <v>6</v>
      </c>
      <c r="B10" s="416"/>
      <c r="C10" s="416"/>
      <c r="D10" s="288"/>
      <c r="E10" s="288"/>
      <c r="F10" s="288"/>
      <c r="G10" s="288"/>
      <c r="H10" s="288"/>
      <c r="I10" s="285"/>
      <c r="J10" s="285"/>
      <c r="K10" s="285"/>
      <c r="L10" s="285"/>
      <c r="M10" s="285"/>
      <c r="N10" s="285"/>
      <c r="O10" s="285"/>
      <c r="P10" s="285"/>
      <c r="Q10" s="285"/>
      <c r="R10" s="285"/>
      <c r="S10" s="285"/>
      <c r="T10" s="285"/>
      <c r="U10" s="285"/>
      <c r="V10" s="285"/>
    </row>
    <row r="11" spans="1:22" s="15"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5" customFormat="1" ht="18.75" x14ac:dyDescent="0.2">
      <c r="A12" s="418" t="s">
        <v>679</v>
      </c>
      <c r="B12" s="418"/>
      <c r="C12" s="418"/>
      <c r="D12" s="287"/>
      <c r="E12" s="287"/>
      <c r="F12" s="287"/>
      <c r="G12" s="287"/>
      <c r="H12" s="287"/>
      <c r="I12" s="285"/>
      <c r="J12" s="285"/>
      <c r="K12" s="285"/>
      <c r="L12" s="285"/>
      <c r="M12" s="285"/>
      <c r="N12" s="285"/>
      <c r="O12" s="285"/>
      <c r="P12" s="285"/>
      <c r="Q12" s="285"/>
      <c r="R12" s="285"/>
      <c r="S12" s="285"/>
      <c r="T12" s="285"/>
      <c r="U12" s="285"/>
      <c r="V12" s="285"/>
    </row>
    <row r="13" spans="1:22" s="15" customFormat="1" ht="18.75" x14ac:dyDescent="0.2">
      <c r="A13" s="416" t="s">
        <v>5</v>
      </c>
      <c r="B13" s="416"/>
      <c r="C13" s="416"/>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39" customHeight="1" x14ac:dyDescent="0.2">
      <c r="A15" s="421" t="s">
        <v>680</v>
      </c>
      <c r="B15" s="422"/>
      <c r="C15" s="422"/>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6" t="s">
        <v>4</v>
      </c>
      <c r="B16" s="416"/>
      <c r="C16" s="416"/>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7" t="s">
        <v>511</v>
      </c>
      <c r="B18" s="418"/>
      <c r="C18" s="418"/>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4"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7" t="s">
        <v>62</v>
      </c>
      <c r="B22" s="297" t="s">
        <v>347</v>
      </c>
      <c r="C22" s="157" t="s">
        <v>587</v>
      </c>
      <c r="D22" s="295" t="s">
        <v>583</v>
      </c>
      <c r="E22" s="295"/>
      <c r="F22" s="295"/>
      <c r="G22" s="295"/>
      <c r="H22" s="295"/>
      <c r="I22" s="279"/>
      <c r="J22" s="279"/>
      <c r="K22" s="279"/>
      <c r="L22" s="279"/>
      <c r="M22" s="279"/>
      <c r="N22" s="279"/>
      <c r="O22" s="279"/>
      <c r="P22" s="279"/>
      <c r="Q22" s="279"/>
      <c r="R22" s="279"/>
      <c r="S22" s="279"/>
      <c r="T22" s="296"/>
      <c r="U22" s="296"/>
      <c r="V22" s="296"/>
    </row>
    <row r="23" spans="1:22" s="290" customFormat="1" ht="78.75" x14ac:dyDescent="0.2">
      <c r="A23" s="27" t="s">
        <v>61</v>
      </c>
      <c r="B23" s="35" t="s">
        <v>624</v>
      </c>
      <c r="C23" s="390" t="s">
        <v>681</v>
      </c>
      <c r="D23" s="295" t="s">
        <v>573</v>
      </c>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12"/>
      <c r="B24" s="413"/>
      <c r="C24" s="414"/>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7" t="s">
        <v>60</v>
      </c>
      <c r="B25" s="157" t="s">
        <v>460</v>
      </c>
      <c r="C25" s="34" t="s">
        <v>645</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7" t="s">
        <v>59</v>
      </c>
      <c r="B26" s="157" t="s">
        <v>72</v>
      </c>
      <c r="C26" s="34"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7" t="s">
        <v>57</v>
      </c>
      <c r="B27" s="157" t="s">
        <v>71</v>
      </c>
      <c r="C27" s="298" t="s">
        <v>660</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7" t="s">
        <v>56</v>
      </c>
      <c r="B28" s="157" t="s">
        <v>461</v>
      </c>
      <c r="C28" s="34"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7" t="s">
        <v>54</v>
      </c>
      <c r="B29" s="157" t="s">
        <v>462</v>
      </c>
      <c r="C29" s="34"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7" t="s">
        <v>52</v>
      </c>
      <c r="B30" s="157" t="s">
        <v>463</v>
      </c>
      <c r="C30" s="34"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7" t="s">
        <v>70</v>
      </c>
      <c r="B31" s="157" t="s">
        <v>464</v>
      </c>
      <c r="C31" s="34"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7" t="s">
        <v>68</v>
      </c>
      <c r="B32" s="157" t="s">
        <v>465</v>
      </c>
      <c r="C32" s="34"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7" t="s">
        <v>67</v>
      </c>
      <c r="B33" s="157" t="s">
        <v>466</v>
      </c>
      <c r="C33" s="157" t="s">
        <v>635</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7" t="s">
        <v>480</v>
      </c>
      <c r="B34" s="157" t="s">
        <v>467</v>
      </c>
      <c r="C34" s="34" t="s">
        <v>632</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7" t="s">
        <v>470</v>
      </c>
      <c r="B35" s="157" t="s">
        <v>69</v>
      </c>
      <c r="C35" s="34" t="s">
        <v>632</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7" t="s">
        <v>481</v>
      </c>
      <c r="B36" s="157" t="s">
        <v>468</v>
      </c>
      <c r="C36" s="34"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7" t="s">
        <v>471</v>
      </c>
      <c r="B37" s="157" t="s">
        <v>469</v>
      </c>
      <c r="C37" s="34" t="s">
        <v>532</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7" t="s">
        <v>482</v>
      </c>
      <c r="B38" s="157" t="s">
        <v>228</v>
      </c>
      <c r="C38" s="34" t="s">
        <v>632</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12"/>
      <c r="B39" s="413"/>
      <c r="C39" s="414"/>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7" t="s">
        <v>472</v>
      </c>
      <c r="B40" s="157" t="s">
        <v>524</v>
      </c>
      <c r="C40" s="391" t="str">
        <f>CONCATENATE("∆P15тп_тр = ",'3.1. паспорт Техсостояние ПС'!O25," МВА; ∆L15тп_лэп = ",'3.2 паспорт Техсостояние ЛЭП'!R26," км; 
SТПпотр=",'2. паспорт  ТП'!H23," МВт; Nсд_тпр=",'2. паспорт  ТП'!A22," договор; Фтз=",ROUND('5. анализ эконом эфф'!B122,2)," млн.руб.")</f>
        <v>∆P15тп_тр = 0,25 МВА; ∆L15тп_лэп = 0,02 км; 
SТПпотр=0,25 МВт; Nсд_тпр=1 договор; Фтз=1,98 млн.руб.</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7" t="s">
        <v>483</v>
      </c>
      <c r="B41" s="157" t="s">
        <v>506</v>
      </c>
      <c r="C41" s="301" t="s">
        <v>633</v>
      </c>
      <c r="D41" s="299" t="s">
        <v>640</v>
      </c>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7" t="s">
        <v>473</v>
      </c>
      <c r="B42" s="157" t="s">
        <v>521</v>
      </c>
      <c r="C42" s="301" t="s">
        <v>633</v>
      </c>
      <c r="D42" s="299" t="s">
        <v>640</v>
      </c>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7" t="s">
        <v>486</v>
      </c>
      <c r="B43" s="157" t="s">
        <v>487</v>
      </c>
      <c r="C43" s="301" t="s">
        <v>645</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7" t="s">
        <v>474</v>
      </c>
      <c r="B44" s="157" t="s">
        <v>512</v>
      </c>
      <c r="C44" s="301" t="s">
        <v>645</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7" t="s">
        <v>507</v>
      </c>
      <c r="B45" s="157" t="s">
        <v>513</v>
      </c>
      <c r="C45" s="301" t="s">
        <v>645</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7" t="s">
        <v>475</v>
      </c>
      <c r="B46" s="157" t="s">
        <v>514</v>
      </c>
      <c r="C46" s="301" t="s">
        <v>645</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12"/>
      <c r="B47" s="413"/>
      <c r="C47" s="414"/>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7" t="s">
        <v>508</v>
      </c>
      <c r="B48" s="157" t="s">
        <v>522</v>
      </c>
      <c r="C48" s="302" t="str">
        <f>CONCATENATE(ROUND('6.2. Паспорт фин осв ввод'!AG24,2)," млн.руб.")</f>
        <v>0,98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7" t="s">
        <v>476</v>
      </c>
      <c r="B49" s="157" t="s">
        <v>523</v>
      </c>
      <c r="C49" s="302" t="str">
        <f>CONCATENATE(ROUND('6.2. Паспорт фин осв ввод'!AG30,2)," млн.руб.")</f>
        <v>0,75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W35" sqref="W35"/>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10.140625" style="60" hidden="1" customWidth="1"/>
    <col min="12" max="19" width="10.140625" style="59" hidden="1" customWidth="1"/>
    <col min="20" max="31" width="10.140625" style="59" customWidth="1"/>
    <col min="32" max="33" width="18" style="59" customWidth="1"/>
    <col min="34" max="16384" width="9.140625" style="59"/>
  </cols>
  <sheetData>
    <row r="1" spans="1:33" ht="18.75" x14ac:dyDescent="0.25">
      <c r="A1" s="60"/>
      <c r="B1" s="60"/>
      <c r="C1" s="60"/>
      <c r="D1" s="60"/>
      <c r="E1" s="60"/>
      <c r="F1" s="60"/>
      <c r="L1" s="60"/>
      <c r="M1" s="60"/>
      <c r="AG1" s="38" t="s">
        <v>66</v>
      </c>
    </row>
    <row r="2" spans="1:33" ht="18.75" x14ac:dyDescent="0.3">
      <c r="A2" s="60"/>
      <c r="B2" s="60"/>
      <c r="C2" s="60"/>
      <c r="D2" s="60"/>
      <c r="E2" s="60"/>
      <c r="F2" s="60"/>
      <c r="L2" s="60"/>
      <c r="M2" s="60"/>
      <c r="AG2" s="14" t="s">
        <v>8</v>
      </c>
    </row>
    <row r="3" spans="1:33" ht="18.75" x14ac:dyDescent="0.3">
      <c r="A3" s="60"/>
      <c r="B3" s="60"/>
      <c r="C3" s="60"/>
      <c r="D3" s="60"/>
      <c r="E3" s="60"/>
      <c r="F3" s="60"/>
      <c r="L3" s="60"/>
      <c r="M3" s="60"/>
      <c r="AG3" s="14" t="s">
        <v>65</v>
      </c>
    </row>
    <row r="4" spans="1:33"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60"/>
      <c r="B5" s="60"/>
      <c r="C5" s="60"/>
      <c r="D5" s="60"/>
      <c r="E5" s="60"/>
      <c r="F5" s="60"/>
      <c r="L5" s="60"/>
      <c r="M5" s="60"/>
      <c r="AG5" s="14"/>
    </row>
    <row r="6" spans="1:33"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c r="AD6" s="429"/>
      <c r="AE6" s="429"/>
      <c r="AF6" s="429"/>
      <c r="AG6" s="429"/>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23" t="str">
        <f>'1.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row>
    <row r="9" spans="1:33" ht="18.75" customHeight="1"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23" t="str">
        <f>'1. паспорт местоположение'!A12:C12</f>
        <v>I_17-1850</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row>
    <row r="12" spans="1:33"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23" t="str">
        <f>'1. паспорт местоположение'!A15</f>
        <v>Строительство ТП 15/0,4 кВ, ЛЭП 15 кВ от ВЛ 15-06 (инв.5115422) п. Яблоневка Гурьевский ГО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row>
    <row r="15" spans="1:33" ht="15.75" customHeight="1"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row>
    <row r="16" spans="1:33"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c r="AD16" s="500"/>
      <c r="AE16" s="500"/>
      <c r="AF16" s="500"/>
      <c r="AG16" s="500"/>
    </row>
    <row r="17" spans="1:36" x14ac:dyDescent="0.25">
      <c r="A17" s="60"/>
      <c r="L17" s="60"/>
      <c r="M17" s="60"/>
      <c r="N17" s="60"/>
      <c r="O17" s="60"/>
      <c r="P17" s="60"/>
      <c r="Q17" s="60"/>
      <c r="R17" s="60"/>
      <c r="S17" s="60"/>
      <c r="T17" s="60"/>
      <c r="U17" s="60"/>
      <c r="V17" s="60"/>
      <c r="W17" s="60"/>
      <c r="X17" s="60"/>
      <c r="Y17" s="60"/>
      <c r="Z17" s="60"/>
      <c r="AA17" s="60"/>
      <c r="AB17" s="60"/>
      <c r="AC17" s="60"/>
      <c r="AD17" s="60"/>
      <c r="AE17" s="60"/>
      <c r="AF17" s="60"/>
    </row>
    <row r="18" spans="1:36" x14ac:dyDescent="0.25">
      <c r="A18" s="504" t="s">
        <v>496</v>
      </c>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c r="AE18" s="504"/>
      <c r="AF18" s="504"/>
      <c r="AG18" s="504"/>
    </row>
    <row r="19" spans="1:36"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row>
    <row r="20" spans="1:36" ht="33" customHeight="1" x14ac:dyDescent="0.25">
      <c r="A20" s="501" t="s">
        <v>184</v>
      </c>
      <c r="B20" s="501" t="s">
        <v>183</v>
      </c>
      <c r="C20" s="488" t="s">
        <v>182</v>
      </c>
      <c r="D20" s="488"/>
      <c r="E20" s="503" t="s">
        <v>181</v>
      </c>
      <c r="F20" s="503"/>
      <c r="G20" s="501" t="s">
        <v>731</v>
      </c>
      <c r="H20" s="498" t="s">
        <v>642</v>
      </c>
      <c r="I20" s="499"/>
      <c r="J20" s="499"/>
      <c r="K20" s="499"/>
      <c r="L20" s="498" t="s">
        <v>643</v>
      </c>
      <c r="M20" s="499"/>
      <c r="N20" s="499"/>
      <c r="O20" s="499"/>
      <c r="P20" s="498" t="s">
        <v>644</v>
      </c>
      <c r="Q20" s="499"/>
      <c r="R20" s="499"/>
      <c r="S20" s="499"/>
      <c r="T20" s="498" t="s">
        <v>732</v>
      </c>
      <c r="U20" s="499"/>
      <c r="V20" s="499"/>
      <c r="W20" s="499"/>
      <c r="X20" s="498" t="s">
        <v>733</v>
      </c>
      <c r="Y20" s="499"/>
      <c r="Z20" s="499"/>
      <c r="AA20" s="499"/>
      <c r="AB20" s="498" t="s">
        <v>734</v>
      </c>
      <c r="AC20" s="499"/>
      <c r="AD20" s="499"/>
      <c r="AE20" s="499"/>
      <c r="AF20" s="505" t="s">
        <v>180</v>
      </c>
      <c r="AG20" s="506"/>
      <c r="AH20" s="81"/>
      <c r="AI20" s="81"/>
      <c r="AJ20" s="81"/>
    </row>
    <row r="21" spans="1:36" ht="99.75" customHeight="1" x14ac:dyDescent="0.25">
      <c r="A21" s="502"/>
      <c r="B21" s="502"/>
      <c r="C21" s="488"/>
      <c r="D21" s="488"/>
      <c r="E21" s="503"/>
      <c r="F21" s="503"/>
      <c r="G21" s="502"/>
      <c r="H21" s="488" t="s">
        <v>2</v>
      </c>
      <c r="I21" s="488"/>
      <c r="J21" s="488" t="s">
        <v>641</v>
      </c>
      <c r="K21" s="488"/>
      <c r="L21" s="488" t="s">
        <v>2</v>
      </c>
      <c r="M21" s="488"/>
      <c r="N21" s="488" t="s">
        <v>641</v>
      </c>
      <c r="O21" s="488"/>
      <c r="P21" s="488" t="s">
        <v>2</v>
      </c>
      <c r="Q21" s="488"/>
      <c r="R21" s="488" t="s">
        <v>641</v>
      </c>
      <c r="S21" s="488"/>
      <c r="T21" s="488" t="s">
        <v>2</v>
      </c>
      <c r="U21" s="488"/>
      <c r="V21" s="488" t="s">
        <v>641</v>
      </c>
      <c r="W21" s="488"/>
      <c r="X21" s="488" t="s">
        <v>2</v>
      </c>
      <c r="Y21" s="488"/>
      <c r="Z21" s="488" t="s">
        <v>641</v>
      </c>
      <c r="AA21" s="488"/>
      <c r="AB21" s="488" t="s">
        <v>2</v>
      </c>
      <c r="AC21" s="488"/>
      <c r="AD21" s="488" t="s">
        <v>641</v>
      </c>
      <c r="AE21" s="488"/>
      <c r="AF21" s="507"/>
      <c r="AG21" s="508"/>
    </row>
    <row r="22" spans="1:36" ht="89.25" customHeight="1" x14ac:dyDescent="0.25">
      <c r="A22" s="495"/>
      <c r="B22" s="495"/>
      <c r="C22" s="78" t="s">
        <v>2</v>
      </c>
      <c r="D22" s="78" t="s">
        <v>179</v>
      </c>
      <c r="E22" s="80" t="s">
        <v>729</v>
      </c>
      <c r="F22" s="80" t="s">
        <v>730</v>
      </c>
      <c r="G22" s="495"/>
      <c r="H22" s="79" t="s">
        <v>477</v>
      </c>
      <c r="I22" s="79" t="s">
        <v>478</v>
      </c>
      <c r="J22" s="79" t="s">
        <v>477</v>
      </c>
      <c r="K22" s="79" t="s">
        <v>478</v>
      </c>
      <c r="L22" s="409" t="s">
        <v>477</v>
      </c>
      <c r="M22" s="409" t="s">
        <v>478</v>
      </c>
      <c r="N22" s="409" t="s">
        <v>477</v>
      </c>
      <c r="O22" s="409" t="s">
        <v>478</v>
      </c>
      <c r="P22" s="409" t="s">
        <v>477</v>
      </c>
      <c r="Q22" s="409" t="s">
        <v>478</v>
      </c>
      <c r="R22" s="409" t="s">
        <v>477</v>
      </c>
      <c r="S22" s="409" t="s">
        <v>478</v>
      </c>
      <c r="T22" s="168" t="s">
        <v>477</v>
      </c>
      <c r="U22" s="168" t="s">
        <v>478</v>
      </c>
      <c r="V22" s="168" t="s">
        <v>477</v>
      </c>
      <c r="W22" s="168" t="s">
        <v>478</v>
      </c>
      <c r="X22" s="409" t="s">
        <v>477</v>
      </c>
      <c r="Y22" s="409" t="s">
        <v>478</v>
      </c>
      <c r="Z22" s="409" t="s">
        <v>477</v>
      </c>
      <c r="AA22" s="409" t="s">
        <v>478</v>
      </c>
      <c r="AB22" s="168" t="s">
        <v>477</v>
      </c>
      <c r="AC22" s="168" t="s">
        <v>478</v>
      </c>
      <c r="AD22" s="168" t="s">
        <v>477</v>
      </c>
      <c r="AE22" s="168" t="s">
        <v>478</v>
      </c>
      <c r="AF22" s="78" t="s">
        <v>2</v>
      </c>
      <c r="AG22" s="270" t="s">
        <v>9</v>
      </c>
    </row>
    <row r="23" spans="1:36" ht="19.5" customHeight="1" x14ac:dyDescent="0.25">
      <c r="A23" s="71">
        <v>1</v>
      </c>
      <c r="B23" s="71">
        <v>2</v>
      </c>
      <c r="C23" s="71">
        <v>3</v>
      </c>
      <c r="D23" s="71">
        <v>4</v>
      </c>
      <c r="E23" s="71">
        <v>5</v>
      </c>
      <c r="F23" s="71">
        <v>6</v>
      </c>
      <c r="G23" s="152">
        <v>7</v>
      </c>
      <c r="H23" s="408">
        <v>16</v>
      </c>
      <c r="I23" s="408">
        <v>17</v>
      </c>
      <c r="J23" s="408">
        <v>18</v>
      </c>
      <c r="K23" s="408">
        <v>19</v>
      </c>
      <c r="L23" s="408">
        <f>K23+1</f>
        <v>20</v>
      </c>
      <c r="M23" s="408">
        <f t="shared" ref="M23" si="0">L23+1</f>
        <v>21</v>
      </c>
      <c r="N23" s="408">
        <f t="shared" ref="N23" si="1">M23+1</f>
        <v>22</v>
      </c>
      <c r="O23" s="408">
        <f t="shared" ref="O23" si="2">N23+1</f>
        <v>23</v>
      </c>
      <c r="P23" s="408">
        <f t="shared" ref="P23" si="3">O23+1</f>
        <v>24</v>
      </c>
      <c r="Q23" s="408">
        <f t="shared" ref="Q23" si="4">P23+1</f>
        <v>25</v>
      </c>
      <c r="R23" s="408">
        <f t="shared" ref="R23" si="5">Q23+1</f>
        <v>26</v>
      </c>
      <c r="S23" s="408">
        <f t="shared" ref="S23" si="6">R23+1</f>
        <v>27</v>
      </c>
      <c r="T23" s="167">
        <f>S23+1</f>
        <v>28</v>
      </c>
      <c r="U23" s="167">
        <f t="shared" ref="U23:AE23" si="7">T23+1</f>
        <v>29</v>
      </c>
      <c r="V23" s="167">
        <f t="shared" si="7"/>
        <v>30</v>
      </c>
      <c r="W23" s="167">
        <f t="shared" si="7"/>
        <v>31</v>
      </c>
      <c r="X23" s="408">
        <f>S23+1</f>
        <v>28</v>
      </c>
      <c r="Y23" s="408">
        <f t="shared" ref="Y23" si="8">X23+1</f>
        <v>29</v>
      </c>
      <c r="Z23" s="408">
        <f t="shared" ref="Z23" si="9">Y23+1</f>
        <v>30</v>
      </c>
      <c r="AA23" s="408">
        <f t="shared" ref="AA23" si="10">Z23+1</f>
        <v>31</v>
      </c>
      <c r="AB23" s="167">
        <f>W23+1</f>
        <v>32</v>
      </c>
      <c r="AC23" s="167">
        <f t="shared" si="7"/>
        <v>33</v>
      </c>
      <c r="AD23" s="167">
        <f t="shared" si="7"/>
        <v>34</v>
      </c>
      <c r="AE23" s="167">
        <f t="shared" si="7"/>
        <v>35</v>
      </c>
      <c r="AF23" s="303">
        <f t="shared" ref="AF23" si="11">AE23+1</f>
        <v>36</v>
      </c>
      <c r="AG23" s="303">
        <f t="shared" ref="AG23" si="12">AF23+1</f>
        <v>37</v>
      </c>
    </row>
    <row r="24" spans="1:36" ht="47.25" customHeight="1" x14ac:dyDescent="0.25">
      <c r="A24" s="76">
        <v>1</v>
      </c>
      <c r="B24" s="75" t="s">
        <v>178</v>
      </c>
      <c r="C24" s="271">
        <f>SUM(C25:C29)</f>
        <v>0</v>
      </c>
      <c r="D24" s="271">
        <f t="shared" ref="D24:AE24" si="13">SUM(D25:D29)</f>
        <v>0</v>
      </c>
      <c r="E24" s="271">
        <f t="shared" si="13"/>
        <v>0</v>
      </c>
      <c r="F24" s="271">
        <f t="shared" si="13"/>
        <v>0</v>
      </c>
      <c r="G24" s="271">
        <f t="shared" si="13"/>
        <v>-6.6184899999999991E-2</v>
      </c>
      <c r="H24" s="271">
        <f t="shared" ref="H24:S24" si="14">SUM(H25:H29)</f>
        <v>0</v>
      </c>
      <c r="I24" s="271">
        <f t="shared" si="14"/>
        <v>0</v>
      </c>
      <c r="J24" s="271">
        <f t="shared" si="14"/>
        <v>0.44662116860000001</v>
      </c>
      <c r="K24" s="271">
        <f t="shared" si="14"/>
        <v>0</v>
      </c>
      <c r="L24" s="271">
        <f t="shared" si="14"/>
        <v>0</v>
      </c>
      <c r="M24" s="271">
        <f t="shared" si="14"/>
        <v>0</v>
      </c>
      <c r="N24" s="271">
        <f t="shared" si="14"/>
        <v>5.0683476000000005E-2</v>
      </c>
      <c r="O24" s="271">
        <f t="shared" si="14"/>
        <v>0</v>
      </c>
      <c r="P24" s="271">
        <f t="shared" si="14"/>
        <v>0</v>
      </c>
      <c r="Q24" s="271">
        <f t="shared" si="14"/>
        <v>0</v>
      </c>
      <c r="R24" s="271">
        <f t="shared" si="14"/>
        <v>-6.6184899999999991E-2</v>
      </c>
      <c r="S24" s="271">
        <f t="shared" si="14"/>
        <v>0</v>
      </c>
      <c r="T24" s="271">
        <f t="shared" si="13"/>
        <v>0</v>
      </c>
      <c r="U24" s="271">
        <f t="shared" si="13"/>
        <v>0</v>
      </c>
      <c r="V24" s="271">
        <f t="shared" si="13"/>
        <v>0.98406358999999988</v>
      </c>
      <c r="W24" s="271">
        <f t="shared" si="13"/>
        <v>0</v>
      </c>
      <c r="X24" s="271">
        <f t="shared" ref="X24:AA24" si="15">SUM(X25:X29)</f>
        <v>0</v>
      </c>
      <c r="Y24" s="271">
        <f t="shared" si="15"/>
        <v>0</v>
      </c>
      <c r="Z24" s="271">
        <f t="shared" si="15"/>
        <v>0</v>
      </c>
      <c r="AA24" s="271">
        <f t="shared" si="15"/>
        <v>0</v>
      </c>
      <c r="AB24" s="271">
        <f t="shared" si="13"/>
        <v>0</v>
      </c>
      <c r="AC24" s="271">
        <f t="shared" si="13"/>
        <v>0</v>
      </c>
      <c r="AD24" s="271">
        <f t="shared" si="13"/>
        <v>0</v>
      </c>
      <c r="AE24" s="271">
        <f t="shared" si="13"/>
        <v>0</v>
      </c>
      <c r="AF24" s="271">
        <f>T24+X24+AB24</f>
        <v>0</v>
      </c>
      <c r="AG24" s="277">
        <f>V24+Z24+AD24</f>
        <v>0.98406358999999988</v>
      </c>
      <c r="AI24" s="410">
        <f>G24+J24+N24+AG24</f>
        <v>1.4151833346</v>
      </c>
    </row>
    <row r="25" spans="1:36" ht="24" customHeight="1" x14ac:dyDescent="0.25">
      <c r="A25" s="73" t="s">
        <v>177</v>
      </c>
      <c r="B25" s="47"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2">
        <v>0</v>
      </c>
      <c r="U25" s="272">
        <v>0</v>
      </c>
      <c r="V25" s="272">
        <v>0</v>
      </c>
      <c r="W25" s="272">
        <v>0</v>
      </c>
      <c r="X25" s="272">
        <v>0</v>
      </c>
      <c r="Y25" s="272">
        <v>0</v>
      </c>
      <c r="Z25" s="272">
        <v>0</v>
      </c>
      <c r="AA25" s="272">
        <v>0</v>
      </c>
      <c r="AB25" s="272">
        <v>0</v>
      </c>
      <c r="AC25" s="272">
        <v>0</v>
      </c>
      <c r="AD25" s="272">
        <v>0</v>
      </c>
      <c r="AE25" s="272">
        <v>0</v>
      </c>
      <c r="AF25" s="271">
        <f t="shared" ref="AF25:AF64" si="16">T25+X25+AB25</f>
        <v>0</v>
      </c>
      <c r="AG25" s="277">
        <f t="shared" ref="AG25:AG64" si="17">V25+Z25+AD25</f>
        <v>0</v>
      </c>
    </row>
    <row r="26" spans="1:36" x14ac:dyDescent="0.25">
      <c r="A26" s="73" t="s">
        <v>175</v>
      </c>
      <c r="B26" s="47"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2">
        <v>0</v>
      </c>
      <c r="U26" s="272">
        <v>0</v>
      </c>
      <c r="V26" s="272">
        <v>0</v>
      </c>
      <c r="W26" s="272">
        <v>0</v>
      </c>
      <c r="X26" s="272">
        <v>0</v>
      </c>
      <c r="Y26" s="272">
        <v>0</v>
      </c>
      <c r="Z26" s="272">
        <v>0</v>
      </c>
      <c r="AA26" s="272">
        <v>0</v>
      </c>
      <c r="AB26" s="272">
        <v>0</v>
      </c>
      <c r="AC26" s="272">
        <v>0</v>
      </c>
      <c r="AD26" s="272">
        <v>0</v>
      </c>
      <c r="AE26" s="272">
        <v>0</v>
      </c>
      <c r="AF26" s="271">
        <f t="shared" si="16"/>
        <v>0</v>
      </c>
      <c r="AG26" s="277">
        <f t="shared" si="17"/>
        <v>0</v>
      </c>
    </row>
    <row r="27" spans="1:36" ht="31.5" x14ac:dyDescent="0.25">
      <c r="A27" s="73" t="s">
        <v>173</v>
      </c>
      <c r="B27" s="47"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2">
        <v>0</v>
      </c>
      <c r="U27" s="272">
        <v>0</v>
      </c>
      <c r="V27" s="272">
        <v>0</v>
      </c>
      <c r="W27" s="272">
        <v>0</v>
      </c>
      <c r="X27" s="272">
        <v>0</v>
      </c>
      <c r="Y27" s="272">
        <v>0</v>
      </c>
      <c r="Z27" s="272">
        <v>0</v>
      </c>
      <c r="AA27" s="272">
        <v>0</v>
      </c>
      <c r="AB27" s="272">
        <v>0</v>
      </c>
      <c r="AC27" s="272">
        <v>0</v>
      </c>
      <c r="AD27" s="272">
        <v>0</v>
      </c>
      <c r="AE27" s="272">
        <v>0</v>
      </c>
      <c r="AF27" s="271">
        <f t="shared" si="16"/>
        <v>0</v>
      </c>
      <c r="AG27" s="277">
        <f t="shared" si="17"/>
        <v>0</v>
      </c>
    </row>
    <row r="28" spans="1:36" x14ac:dyDescent="0.25">
      <c r="A28" s="73" t="s">
        <v>172</v>
      </c>
      <c r="B28" s="47" t="s">
        <v>171</v>
      </c>
      <c r="C28" s="271">
        <v>0</v>
      </c>
      <c r="D28" s="271">
        <v>0</v>
      </c>
      <c r="E28" s="272">
        <v>0</v>
      </c>
      <c r="F28" s="272">
        <v>0</v>
      </c>
      <c r="G28" s="272">
        <v>-6.6184899999999991E-2</v>
      </c>
      <c r="H28" s="272">
        <v>0</v>
      </c>
      <c r="I28" s="272">
        <v>0</v>
      </c>
      <c r="J28" s="272">
        <v>0.44662116860000001</v>
      </c>
      <c r="K28" s="272">
        <v>0</v>
      </c>
      <c r="L28" s="272">
        <v>0</v>
      </c>
      <c r="M28" s="272">
        <v>0</v>
      </c>
      <c r="N28" s="272">
        <v>5.0683476000000005E-2</v>
      </c>
      <c r="O28" s="272">
        <v>0</v>
      </c>
      <c r="P28" s="272">
        <v>0</v>
      </c>
      <c r="Q28" s="272">
        <v>0</v>
      </c>
      <c r="R28" s="272">
        <v>-6.6184899999999991E-2</v>
      </c>
      <c r="S28" s="272">
        <v>0</v>
      </c>
      <c r="T28" s="272">
        <v>0</v>
      </c>
      <c r="U28" s="272">
        <v>0</v>
      </c>
      <c r="V28" s="272">
        <v>0.98406358999999988</v>
      </c>
      <c r="W28" s="272">
        <v>0</v>
      </c>
      <c r="X28" s="272">
        <v>0</v>
      </c>
      <c r="Y28" s="272">
        <v>0</v>
      </c>
      <c r="Z28" s="272">
        <v>0</v>
      </c>
      <c r="AA28" s="272">
        <v>0</v>
      </c>
      <c r="AB28" s="272">
        <v>0</v>
      </c>
      <c r="AC28" s="272">
        <v>0</v>
      </c>
      <c r="AD28" s="272">
        <v>0</v>
      </c>
      <c r="AE28" s="272">
        <v>0</v>
      </c>
      <c r="AF28" s="271">
        <f t="shared" si="16"/>
        <v>0</v>
      </c>
      <c r="AG28" s="277">
        <f t="shared" si="17"/>
        <v>0.98406358999999988</v>
      </c>
    </row>
    <row r="29" spans="1:36" x14ac:dyDescent="0.25">
      <c r="A29" s="73" t="s">
        <v>170</v>
      </c>
      <c r="B29" s="77" t="s">
        <v>169</v>
      </c>
      <c r="C29" s="271">
        <v>0</v>
      </c>
      <c r="D29" s="271">
        <v>0</v>
      </c>
      <c r="E29" s="272">
        <v>0</v>
      </c>
      <c r="F29" s="272">
        <v>0</v>
      </c>
      <c r="G29" s="272">
        <v>0</v>
      </c>
      <c r="H29" s="272">
        <v>0</v>
      </c>
      <c r="I29" s="272">
        <v>0</v>
      </c>
      <c r="J29" s="272">
        <v>0</v>
      </c>
      <c r="K29" s="272">
        <v>0</v>
      </c>
      <c r="L29" s="272">
        <v>0</v>
      </c>
      <c r="M29" s="272">
        <v>0</v>
      </c>
      <c r="N29" s="272">
        <v>0</v>
      </c>
      <c r="O29" s="272">
        <v>0</v>
      </c>
      <c r="P29" s="272">
        <v>0</v>
      </c>
      <c r="Q29" s="272">
        <v>0</v>
      </c>
      <c r="R29" s="272">
        <v>0</v>
      </c>
      <c r="S29" s="272">
        <v>0</v>
      </c>
      <c r="T29" s="272">
        <v>0</v>
      </c>
      <c r="U29" s="272">
        <v>0</v>
      </c>
      <c r="V29" s="272">
        <v>0</v>
      </c>
      <c r="W29" s="272">
        <v>0</v>
      </c>
      <c r="X29" s="272">
        <v>0</v>
      </c>
      <c r="Y29" s="272">
        <v>0</v>
      </c>
      <c r="Z29" s="272">
        <v>0</v>
      </c>
      <c r="AA29" s="272">
        <v>0</v>
      </c>
      <c r="AB29" s="272">
        <v>0</v>
      </c>
      <c r="AC29" s="272">
        <v>0</v>
      </c>
      <c r="AD29" s="272">
        <v>0</v>
      </c>
      <c r="AE29" s="272">
        <v>0</v>
      </c>
      <c r="AF29" s="271">
        <f t="shared" si="16"/>
        <v>0</v>
      </c>
      <c r="AG29" s="277">
        <f t="shared" si="17"/>
        <v>0</v>
      </c>
    </row>
    <row r="30" spans="1:36" ht="47.25" x14ac:dyDescent="0.25">
      <c r="A30" s="76" t="s">
        <v>61</v>
      </c>
      <c r="B30" s="75" t="s">
        <v>168</v>
      </c>
      <c r="C30" s="271">
        <v>0</v>
      </c>
      <c r="D30" s="271">
        <v>0</v>
      </c>
      <c r="E30" s="274">
        <v>0</v>
      </c>
      <c r="F30" s="274">
        <v>0</v>
      </c>
      <c r="G30" s="271">
        <f t="shared" ref="G30" si="18">SUM(G31:G34)</f>
        <v>4.2240200000000006E-2</v>
      </c>
      <c r="H30" s="271">
        <f t="shared" ref="H30:J30" si="19">SUM(H31:H34)</f>
        <v>0</v>
      </c>
      <c r="I30" s="271">
        <f t="shared" si="19"/>
        <v>0</v>
      </c>
      <c r="J30" s="271">
        <f t="shared" si="19"/>
        <v>0.38840776999999999</v>
      </c>
      <c r="K30" s="271">
        <v>0</v>
      </c>
      <c r="L30" s="271">
        <f t="shared" ref="L30:S30" si="20">SUM(L31:L34)</f>
        <v>0</v>
      </c>
      <c r="M30" s="271">
        <f t="shared" si="20"/>
        <v>0</v>
      </c>
      <c r="N30" s="271">
        <f t="shared" si="20"/>
        <v>4.2886230000000004E-2</v>
      </c>
      <c r="O30" s="271">
        <f t="shared" si="20"/>
        <v>0</v>
      </c>
      <c r="P30" s="271">
        <f t="shared" si="20"/>
        <v>0</v>
      </c>
      <c r="Q30" s="271">
        <f t="shared" si="20"/>
        <v>0</v>
      </c>
      <c r="R30" s="271">
        <f t="shared" si="20"/>
        <v>4.2240200000000006E-2</v>
      </c>
      <c r="S30" s="271">
        <f t="shared" si="20"/>
        <v>0</v>
      </c>
      <c r="T30" s="271">
        <f t="shared" ref="T30:AE30" si="21">SUM(T31:T34)</f>
        <v>0</v>
      </c>
      <c r="U30" s="271">
        <f t="shared" si="21"/>
        <v>0</v>
      </c>
      <c r="V30" s="271">
        <f t="shared" si="21"/>
        <v>0.74916264999999993</v>
      </c>
      <c r="W30" s="271">
        <f t="shared" si="21"/>
        <v>0</v>
      </c>
      <c r="X30" s="271">
        <f t="shared" ref="X30:AA30" si="22">SUM(X31:X34)</f>
        <v>0</v>
      </c>
      <c r="Y30" s="271">
        <f t="shared" si="22"/>
        <v>0</v>
      </c>
      <c r="Z30" s="271">
        <f t="shared" si="22"/>
        <v>0</v>
      </c>
      <c r="AA30" s="271">
        <f t="shared" si="22"/>
        <v>0</v>
      </c>
      <c r="AB30" s="271">
        <f t="shared" si="21"/>
        <v>0</v>
      </c>
      <c r="AC30" s="271">
        <f t="shared" si="21"/>
        <v>0</v>
      </c>
      <c r="AD30" s="271">
        <f t="shared" si="21"/>
        <v>0</v>
      </c>
      <c r="AE30" s="271">
        <f t="shared" si="21"/>
        <v>0</v>
      </c>
      <c r="AF30" s="271">
        <f t="shared" si="16"/>
        <v>0</v>
      </c>
      <c r="AG30" s="277">
        <f t="shared" si="17"/>
        <v>0.74916264999999993</v>
      </c>
      <c r="AI30" s="410">
        <f>G30+J30+N30+AG30</f>
        <v>1.2226968499999999</v>
      </c>
    </row>
    <row r="31" spans="1:36" x14ac:dyDescent="0.25">
      <c r="A31" s="76" t="s">
        <v>167</v>
      </c>
      <c r="B31" s="47" t="s">
        <v>166</v>
      </c>
      <c r="C31" s="271">
        <v>0</v>
      </c>
      <c r="D31" s="271">
        <v>0</v>
      </c>
      <c r="E31" s="272">
        <v>0</v>
      </c>
      <c r="F31" s="272">
        <v>0</v>
      </c>
      <c r="G31" s="272">
        <v>0</v>
      </c>
      <c r="H31" s="272">
        <v>0</v>
      </c>
      <c r="I31" s="272">
        <v>0</v>
      </c>
      <c r="J31" s="272">
        <v>6.5000000000000002E-2</v>
      </c>
      <c r="K31" s="272">
        <v>0</v>
      </c>
      <c r="L31" s="272">
        <v>0</v>
      </c>
      <c r="M31" s="272">
        <v>0</v>
      </c>
      <c r="N31" s="272">
        <v>0</v>
      </c>
      <c r="O31" s="272">
        <v>0</v>
      </c>
      <c r="P31" s="272">
        <v>0</v>
      </c>
      <c r="Q31" s="272">
        <v>0</v>
      </c>
      <c r="R31" s="272">
        <v>0</v>
      </c>
      <c r="S31" s="272">
        <v>0</v>
      </c>
      <c r="T31" s="272">
        <v>0</v>
      </c>
      <c r="U31" s="272">
        <v>0</v>
      </c>
      <c r="V31" s="272">
        <v>6.6561999999999996E-2</v>
      </c>
      <c r="W31" s="272">
        <v>0</v>
      </c>
      <c r="X31" s="272">
        <v>0</v>
      </c>
      <c r="Y31" s="272">
        <v>0</v>
      </c>
      <c r="Z31" s="272">
        <v>0</v>
      </c>
      <c r="AA31" s="272">
        <v>0</v>
      </c>
      <c r="AB31" s="272">
        <v>0</v>
      </c>
      <c r="AC31" s="272">
        <v>0</v>
      </c>
      <c r="AD31" s="272">
        <v>0</v>
      </c>
      <c r="AE31" s="272">
        <v>0</v>
      </c>
      <c r="AF31" s="271">
        <f t="shared" si="16"/>
        <v>0</v>
      </c>
      <c r="AG31" s="277">
        <f t="shared" si="17"/>
        <v>6.6561999999999996E-2</v>
      </c>
    </row>
    <row r="32" spans="1:36" ht="31.5" x14ac:dyDescent="0.25">
      <c r="A32" s="76" t="s">
        <v>165</v>
      </c>
      <c r="B32" s="47"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2">
        <v>0</v>
      </c>
      <c r="U32" s="272">
        <v>0</v>
      </c>
      <c r="V32" s="272">
        <v>0.45799048999999997</v>
      </c>
      <c r="W32" s="272">
        <v>0</v>
      </c>
      <c r="X32" s="272">
        <v>0</v>
      </c>
      <c r="Y32" s="272">
        <v>0</v>
      </c>
      <c r="Z32" s="272">
        <v>0</v>
      </c>
      <c r="AA32" s="272">
        <v>0</v>
      </c>
      <c r="AB32" s="272">
        <v>0</v>
      </c>
      <c r="AC32" s="272">
        <v>0</v>
      </c>
      <c r="AD32" s="272">
        <v>0</v>
      </c>
      <c r="AE32" s="272">
        <v>0</v>
      </c>
      <c r="AF32" s="271">
        <f t="shared" si="16"/>
        <v>0</v>
      </c>
      <c r="AG32" s="277">
        <f t="shared" si="17"/>
        <v>0.45799048999999997</v>
      </c>
    </row>
    <row r="33" spans="1:33" x14ac:dyDescent="0.25">
      <c r="A33" s="76" t="s">
        <v>163</v>
      </c>
      <c r="B33" s="47" t="s">
        <v>162</v>
      </c>
      <c r="C33" s="271">
        <v>0</v>
      </c>
      <c r="D33" s="271">
        <v>0</v>
      </c>
      <c r="E33" s="272">
        <v>0</v>
      </c>
      <c r="F33" s="272">
        <v>0</v>
      </c>
      <c r="G33" s="272">
        <v>1.3637360000000001E-2</v>
      </c>
      <c r="H33" s="272">
        <v>0</v>
      </c>
      <c r="I33" s="272">
        <v>0</v>
      </c>
      <c r="J33" s="272">
        <v>0.31526999999999999</v>
      </c>
      <c r="K33" s="272">
        <v>0</v>
      </c>
      <c r="L33" s="272">
        <v>0</v>
      </c>
      <c r="M33" s="272">
        <v>0</v>
      </c>
      <c r="N33" s="272">
        <v>0</v>
      </c>
      <c r="O33" s="272">
        <v>0</v>
      </c>
      <c r="P33" s="272">
        <v>0</v>
      </c>
      <c r="Q33" s="272">
        <v>0</v>
      </c>
      <c r="R33" s="272">
        <v>1.3637360000000001E-2</v>
      </c>
      <c r="S33" s="272">
        <v>0</v>
      </c>
      <c r="T33" s="272">
        <v>0</v>
      </c>
      <c r="U33" s="272">
        <v>0</v>
      </c>
      <c r="V33" s="272">
        <v>0.15208266000000001</v>
      </c>
      <c r="W33" s="272">
        <v>0</v>
      </c>
      <c r="X33" s="272">
        <v>0</v>
      </c>
      <c r="Y33" s="272">
        <v>0</v>
      </c>
      <c r="Z33" s="272">
        <v>0</v>
      </c>
      <c r="AA33" s="272">
        <v>0</v>
      </c>
      <c r="AB33" s="272">
        <v>0</v>
      </c>
      <c r="AC33" s="272">
        <v>0</v>
      </c>
      <c r="AD33" s="272">
        <v>0</v>
      </c>
      <c r="AE33" s="272">
        <v>0</v>
      </c>
      <c r="AF33" s="271">
        <f t="shared" si="16"/>
        <v>0</v>
      </c>
      <c r="AG33" s="277">
        <f t="shared" si="17"/>
        <v>0.15208266000000001</v>
      </c>
    </row>
    <row r="34" spans="1:33" x14ac:dyDescent="0.25">
      <c r="A34" s="76" t="s">
        <v>161</v>
      </c>
      <c r="B34" s="47" t="s">
        <v>160</v>
      </c>
      <c r="C34" s="271">
        <v>0</v>
      </c>
      <c r="D34" s="271">
        <v>0</v>
      </c>
      <c r="E34" s="272">
        <v>0</v>
      </c>
      <c r="F34" s="272">
        <v>0</v>
      </c>
      <c r="G34" s="272">
        <v>2.8602840000000001E-2</v>
      </c>
      <c r="H34" s="272">
        <v>0</v>
      </c>
      <c r="I34" s="272">
        <v>0</v>
      </c>
      <c r="J34" s="272">
        <v>8.1377700000000008E-3</v>
      </c>
      <c r="K34" s="272">
        <v>0</v>
      </c>
      <c r="L34" s="272">
        <v>0</v>
      </c>
      <c r="M34" s="272">
        <v>0</v>
      </c>
      <c r="N34" s="272">
        <v>4.2886230000000004E-2</v>
      </c>
      <c r="O34" s="272">
        <v>0</v>
      </c>
      <c r="P34" s="272">
        <v>0</v>
      </c>
      <c r="Q34" s="272">
        <v>0</v>
      </c>
      <c r="R34" s="272">
        <v>2.8602840000000001E-2</v>
      </c>
      <c r="S34" s="272">
        <v>0</v>
      </c>
      <c r="T34" s="272">
        <v>0</v>
      </c>
      <c r="U34" s="272">
        <v>0</v>
      </c>
      <c r="V34" s="272">
        <v>7.2527499999999995E-2</v>
      </c>
      <c r="W34" s="272">
        <v>0</v>
      </c>
      <c r="X34" s="272">
        <v>0</v>
      </c>
      <c r="Y34" s="272">
        <v>0</v>
      </c>
      <c r="Z34" s="272">
        <v>0</v>
      </c>
      <c r="AA34" s="272">
        <v>0</v>
      </c>
      <c r="AB34" s="272">
        <v>0</v>
      </c>
      <c r="AC34" s="272">
        <v>0</v>
      </c>
      <c r="AD34" s="272">
        <v>0</v>
      </c>
      <c r="AE34" s="272">
        <v>0</v>
      </c>
      <c r="AF34" s="271">
        <f t="shared" si="16"/>
        <v>0</v>
      </c>
      <c r="AG34" s="277">
        <f t="shared" si="17"/>
        <v>7.2527499999999995E-2</v>
      </c>
    </row>
    <row r="35" spans="1:33" ht="31.5" x14ac:dyDescent="0.25">
      <c r="A35" s="76" t="s">
        <v>60</v>
      </c>
      <c r="B35" s="75"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v>0</v>
      </c>
      <c r="U35" s="271">
        <v>0</v>
      </c>
      <c r="V35" s="271">
        <v>0</v>
      </c>
      <c r="W35" s="271">
        <v>0</v>
      </c>
      <c r="X35" s="271">
        <v>0</v>
      </c>
      <c r="Y35" s="271">
        <v>0</v>
      </c>
      <c r="Z35" s="271">
        <v>0</v>
      </c>
      <c r="AA35" s="271">
        <v>0</v>
      </c>
      <c r="AB35" s="271">
        <v>0</v>
      </c>
      <c r="AC35" s="271">
        <v>0</v>
      </c>
      <c r="AD35" s="271">
        <v>0</v>
      </c>
      <c r="AE35" s="271">
        <v>0</v>
      </c>
      <c r="AF35" s="271">
        <f t="shared" si="16"/>
        <v>0</v>
      </c>
      <c r="AG35" s="277">
        <f t="shared" si="17"/>
        <v>0</v>
      </c>
    </row>
    <row r="36" spans="1:33" ht="31.5" x14ac:dyDescent="0.25">
      <c r="A36" s="73" t="s">
        <v>158</v>
      </c>
      <c r="B36" s="72"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2">
        <v>0</v>
      </c>
      <c r="U36" s="272">
        <v>0</v>
      </c>
      <c r="V36" s="272">
        <v>0</v>
      </c>
      <c r="W36" s="272">
        <v>0</v>
      </c>
      <c r="X36" s="272">
        <v>0</v>
      </c>
      <c r="Y36" s="272">
        <v>0</v>
      </c>
      <c r="Z36" s="272">
        <v>0</v>
      </c>
      <c r="AA36" s="272">
        <v>0</v>
      </c>
      <c r="AB36" s="272">
        <v>0</v>
      </c>
      <c r="AC36" s="272">
        <v>0</v>
      </c>
      <c r="AD36" s="272">
        <v>0</v>
      </c>
      <c r="AE36" s="272">
        <v>0</v>
      </c>
      <c r="AF36" s="271">
        <f t="shared" si="16"/>
        <v>0</v>
      </c>
      <c r="AG36" s="277">
        <f t="shared" si="17"/>
        <v>0</v>
      </c>
    </row>
    <row r="37" spans="1:33" x14ac:dyDescent="0.25">
      <c r="A37" s="73" t="s">
        <v>156</v>
      </c>
      <c r="B37" s="72"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2">
        <v>0</v>
      </c>
      <c r="U37" s="272">
        <v>0</v>
      </c>
      <c r="V37" s="272">
        <v>0</v>
      </c>
      <c r="W37" s="272">
        <v>0</v>
      </c>
      <c r="X37" s="272">
        <v>0</v>
      </c>
      <c r="Y37" s="272">
        <v>0</v>
      </c>
      <c r="Z37" s="272">
        <v>0</v>
      </c>
      <c r="AA37" s="272">
        <v>0</v>
      </c>
      <c r="AB37" s="272">
        <v>0</v>
      </c>
      <c r="AC37" s="272">
        <v>0</v>
      </c>
      <c r="AD37" s="272">
        <v>0</v>
      </c>
      <c r="AE37" s="272">
        <v>0</v>
      </c>
      <c r="AF37" s="271">
        <f t="shared" si="16"/>
        <v>0</v>
      </c>
      <c r="AG37" s="277">
        <f t="shared" si="17"/>
        <v>0</v>
      </c>
    </row>
    <row r="38" spans="1:33" x14ac:dyDescent="0.25">
      <c r="A38" s="73" t="s">
        <v>155</v>
      </c>
      <c r="B38" s="72"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2">
        <v>0</v>
      </c>
      <c r="U38" s="272">
        <v>0</v>
      </c>
      <c r="V38" s="272">
        <v>0</v>
      </c>
      <c r="W38" s="272">
        <v>0</v>
      </c>
      <c r="X38" s="272">
        <v>0</v>
      </c>
      <c r="Y38" s="272">
        <v>0</v>
      </c>
      <c r="Z38" s="272">
        <v>0</v>
      </c>
      <c r="AA38" s="272">
        <v>0</v>
      </c>
      <c r="AB38" s="272">
        <v>0</v>
      </c>
      <c r="AC38" s="272">
        <v>0</v>
      </c>
      <c r="AD38" s="272">
        <v>0</v>
      </c>
      <c r="AE38" s="272">
        <v>0</v>
      </c>
      <c r="AF38" s="271">
        <f t="shared" si="16"/>
        <v>0</v>
      </c>
      <c r="AG38" s="277">
        <f t="shared" si="17"/>
        <v>0</v>
      </c>
    </row>
    <row r="39" spans="1:33" ht="31.5" x14ac:dyDescent="0.25">
      <c r="A39" s="73" t="s">
        <v>154</v>
      </c>
      <c r="B39" s="47"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2">
        <v>0</v>
      </c>
      <c r="U39" s="272">
        <v>0</v>
      </c>
      <c r="V39" s="272">
        <v>0</v>
      </c>
      <c r="W39" s="272">
        <v>0</v>
      </c>
      <c r="X39" s="272">
        <v>0</v>
      </c>
      <c r="Y39" s="272">
        <v>0</v>
      </c>
      <c r="Z39" s="272">
        <v>0</v>
      </c>
      <c r="AA39" s="272">
        <v>0</v>
      </c>
      <c r="AB39" s="272">
        <v>0</v>
      </c>
      <c r="AC39" s="272">
        <v>0</v>
      </c>
      <c r="AD39" s="272">
        <v>0</v>
      </c>
      <c r="AE39" s="272">
        <v>0</v>
      </c>
      <c r="AF39" s="271">
        <f t="shared" si="16"/>
        <v>0</v>
      </c>
      <c r="AG39" s="277">
        <f t="shared" si="17"/>
        <v>0</v>
      </c>
    </row>
    <row r="40" spans="1:33" ht="31.5" x14ac:dyDescent="0.25">
      <c r="A40" s="73" t="s">
        <v>153</v>
      </c>
      <c r="B40" s="47"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2">
        <v>0</v>
      </c>
      <c r="U40" s="272">
        <v>0</v>
      </c>
      <c r="V40" s="272">
        <v>0</v>
      </c>
      <c r="W40" s="272">
        <v>0</v>
      </c>
      <c r="X40" s="272">
        <v>0</v>
      </c>
      <c r="Y40" s="272">
        <v>0</v>
      </c>
      <c r="Z40" s="272">
        <v>0</v>
      </c>
      <c r="AA40" s="272">
        <v>0</v>
      </c>
      <c r="AB40" s="272">
        <v>0</v>
      </c>
      <c r="AC40" s="272">
        <v>0</v>
      </c>
      <c r="AD40" s="272">
        <v>0</v>
      </c>
      <c r="AE40" s="272">
        <v>0</v>
      </c>
      <c r="AF40" s="271">
        <f t="shared" si="16"/>
        <v>0</v>
      </c>
      <c r="AG40" s="277">
        <f t="shared" si="17"/>
        <v>0</v>
      </c>
    </row>
    <row r="41" spans="1:33" x14ac:dyDescent="0.25">
      <c r="A41" s="73" t="s">
        <v>152</v>
      </c>
      <c r="B41" s="47"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2">
        <v>0</v>
      </c>
      <c r="U41" s="272">
        <v>0</v>
      </c>
      <c r="V41" s="272">
        <v>0</v>
      </c>
      <c r="W41" s="272">
        <v>0</v>
      </c>
      <c r="X41" s="272">
        <v>0</v>
      </c>
      <c r="Y41" s="272">
        <v>0</v>
      </c>
      <c r="Z41" s="272">
        <v>0</v>
      </c>
      <c r="AA41" s="272">
        <v>0</v>
      </c>
      <c r="AB41" s="272">
        <v>0</v>
      </c>
      <c r="AC41" s="272">
        <v>0</v>
      </c>
      <c r="AD41" s="272">
        <v>0</v>
      </c>
      <c r="AE41" s="272">
        <v>0</v>
      </c>
      <c r="AF41" s="271">
        <f t="shared" si="16"/>
        <v>0</v>
      </c>
      <c r="AG41" s="277">
        <f t="shared" si="17"/>
        <v>0</v>
      </c>
    </row>
    <row r="42" spans="1:33" ht="18.75" x14ac:dyDescent="0.25">
      <c r="A42" s="73" t="s">
        <v>151</v>
      </c>
      <c r="B42" s="72"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2">
        <v>0</v>
      </c>
      <c r="U42" s="272">
        <v>0</v>
      </c>
      <c r="V42" s="272">
        <v>0</v>
      </c>
      <c r="W42" s="272">
        <v>0</v>
      </c>
      <c r="X42" s="272">
        <v>0</v>
      </c>
      <c r="Y42" s="272">
        <v>0</v>
      </c>
      <c r="Z42" s="272">
        <v>0</v>
      </c>
      <c r="AA42" s="272">
        <v>0</v>
      </c>
      <c r="AB42" s="272">
        <v>0</v>
      </c>
      <c r="AC42" s="272">
        <v>0</v>
      </c>
      <c r="AD42" s="272">
        <v>0</v>
      </c>
      <c r="AE42" s="272">
        <v>0</v>
      </c>
      <c r="AF42" s="271">
        <f t="shared" si="16"/>
        <v>0</v>
      </c>
      <c r="AG42" s="277">
        <f t="shared" si="17"/>
        <v>0</v>
      </c>
    </row>
    <row r="43" spans="1:33" x14ac:dyDescent="0.25">
      <c r="A43" s="76" t="s">
        <v>59</v>
      </c>
      <c r="B43" s="75"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v>0</v>
      </c>
      <c r="U43" s="271">
        <v>0</v>
      </c>
      <c r="V43" s="271">
        <v>0</v>
      </c>
      <c r="W43" s="271">
        <v>0</v>
      </c>
      <c r="X43" s="271">
        <v>0</v>
      </c>
      <c r="Y43" s="271">
        <v>0</v>
      </c>
      <c r="Z43" s="271">
        <v>0</v>
      </c>
      <c r="AA43" s="271">
        <v>0</v>
      </c>
      <c r="AB43" s="271">
        <v>0</v>
      </c>
      <c r="AC43" s="271">
        <v>0</v>
      </c>
      <c r="AD43" s="271">
        <v>0</v>
      </c>
      <c r="AE43" s="271">
        <v>0</v>
      </c>
      <c r="AF43" s="271">
        <f t="shared" si="16"/>
        <v>0</v>
      </c>
      <c r="AG43" s="277">
        <f t="shared" si="17"/>
        <v>0</v>
      </c>
    </row>
    <row r="44" spans="1:33" x14ac:dyDescent="0.25">
      <c r="A44" s="73" t="s">
        <v>149</v>
      </c>
      <c r="B44" s="47"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2">
        <v>0</v>
      </c>
      <c r="U44" s="272">
        <v>0</v>
      </c>
      <c r="V44" s="272">
        <v>0</v>
      </c>
      <c r="W44" s="272">
        <v>0</v>
      </c>
      <c r="X44" s="272">
        <v>0</v>
      </c>
      <c r="Y44" s="272">
        <v>0</v>
      </c>
      <c r="Z44" s="272">
        <v>0</v>
      </c>
      <c r="AA44" s="272">
        <v>0</v>
      </c>
      <c r="AB44" s="272">
        <v>0</v>
      </c>
      <c r="AC44" s="272">
        <v>0</v>
      </c>
      <c r="AD44" s="272">
        <v>0</v>
      </c>
      <c r="AE44" s="272">
        <v>0</v>
      </c>
      <c r="AF44" s="271">
        <f t="shared" si="16"/>
        <v>0</v>
      </c>
      <c r="AG44" s="277">
        <f t="shared" si="17"/>
        <v>0</v>
      </c>
    </row>
    <row r="45" spans="1:33" x14ac:dyDescent="0.25">
      <c r="A45" s="73" t="s">
        <v>147</v>
      </c>
      <c r="B45" s="47"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2">
        <v>0</v>
      </c>
      <c r="U45" s="272">
        <v>0</v>
      </c>
      <c r="V45" s="272">
        <v>0</v>
      </c>
      <c r="W45" s="272">
        <v>0</v>
      </c>
      <c r="X45" s="272">
        <v>0</v>
      </c>
      <c r="Y45" s="272">
        <v>0</v>
      </c>
      <c r="Z45" s="272">
        <v>0</v>
      </c>
      <c r="AA45" s="272">
        <v>0</v>
      </c>
      <c r="AB45" s="272">
        <v>0</v>
      </c>
      <c r="AC45" s="272">
        <v>0</v>
      </c>
      <c r="AD45" s="272">
        <v>0</v>
      </c>
      <c r="AE45" s="272">
        <v>0</v>
      </c>
      <c r="AF45" s="271">
        <f t="shared" si="16"/>
        <v>0</v>
      </c>
      <c r="AG45" s="277">
        <f t="shared" si="17"/>
        <v>0</v>
      </c>
    </row>
    <row r="46" spans="1:33" x14ac:dyDescent="0.25">
      <c r="A46" s="73" t="s">
        <v>145</v>
      </c>
      <c r="B46" s="47"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2">
        <v>0</v>
      </c>
      <c r="U46" s="272">
        <v>0</v>
      </c>
      <c r="V46" s="272">
        <v>0</v>
      </c>
      <c r="W46" s="272">
        <v>0</v>
      </c>
      <c r="X46" s="272">
        <v>0</v>
      </c>
      <c r="Y46" s="272">
        <v>0</v>
      </c>
      <c r="Z46" s="272">
        <v>0</v>
      </c>
      <c r="AA46" s="272">
        <v>0</v>
      </c>
      <c r="AB46" s="272">
        <v>0</v>
      </c>
      <c r="AC46" s="272">
        <v>0</v>
      </c>
      <c r="AD46" s="272">
        <v>0</v>
      </c>
      <c r="AE46" s="272">
        <v>0</v>
      </c>
      <c r="AF46" s="271">
        <f t="shared" si="16"/>
        <v>0</v>
      </c>
      <c r="AG46" s="277">
        <f t="shared" si="17"/>
        <v>0</v>
      </c>
    </row>
    <row r="47" spans="1:33" ht="31.5" x14ac:dyDescent="0.25">
      <c r="A47" s="73" t="s">
        <v>143</v>
      </c>
      <c r="B47" s="47"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2">
        <v>0</v>
      </c>
      <c r="U47" s="272">
        <v>0</v>
      </c>
      <c r="V47" s="272">
        <v>0</v>
      </c>
      <c r="W47" s="272">
        <v>0</v>
      </c>
      <c r="X47" s="272">
        <v>0</v>
      </c>
      <c r="Y47" s="272">
        <v>0</v>
      </c>
      <c r="Z47" s="272">
        <v>0</v>
      </c>
      <c r="AA47" s="272">
        <v>0</v>
      </c>
      <c r="AB47" s="272">
        <v>0</v>
      </c>
      <c r="AC47" s="272">
        <v>0</v>
      </c>
      <c r="AD47" s="272">
        <v>0</v>
      </c>
      <c r="AE47" s="272">
        <v>0</v>
      </c>
      <c r="AF47" s="271">
        <f t="shared" si="16"/>
        <v>0</v>
      </c>
      <c r="AG47" s="277">
        <f t="shared" si="17"/>
        <v>0</v>
      </c>
    </row>
    <row r="48" spans="1:33" ht="31.5" x14ac:dyDescent="0.25">
      <c r="A48" s="73" t="s">
        <v>141</v>
      </c>
      <c r="B48" s="47"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2">
        <v>0</v>
      </c>
      <c r="U48" s="272">
        <v>0</v>
      </c>
      <c r="V48" s="272">
        <v>0</v>
      </c>
      <c r="W48" s="272">
        <v>0</v>
      </c>
      <c r="X48" s="272">
        <v>0</v>
      </c>
      <c r="Y48" s="272">
        <v>0</v>
      </c>
      <c r="Z48" s="272">
        <v>0</v>
      </c>
      <c r="AA48" s="272">
        <v>0</v>
      </c>
      <c r="AB48" s="272">
        <v>0</v>
      </c>
      <c r="AC48" s="272">
        <v>0</v>
      </c>
      <c r="AD48" s="272">
        <v>0</v>
      </c>
      <c r="AE48" s="272">
        <v>0</v>
      </c>
      <c r="AF48" s="271">
        <f t="shared" si="16"/>
        <v>0</v>
      </c>
      <c r="AG48" s="277">
        <f t="shared" si="17"/>
        <v>0</v>
      </c>
    </row>
    <row r="49" spans="1:35" x14ac:dyDescent="0.25">
      <c r="A49" s="73" t="s">
        <v>139</v>
      </c>
      <c r="B49" s="47"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2">
        <v>0</v>
      </c>
      <c r="U49" s="272">
        <v>0</v>
      </c>
      <c r="V49" s="272">
        <v>0</v>
      </c>
      <c r="W49" s="272">
        <v>0</v>
      </c>
      <c r="X49" s="272">
        <v>0</v>
      </c>
      <c r="Y49" s="272">
        <v>0</v>
      </c>
      <c r="Z49" s="272">
        <v>0</v>
      </c>
      <c r="AA49" s="272">
        <v>0</v>
      </c>
      <c r="AB49" s="272">
        <v>0</v>
      </c>
      <c r="AC49" s="272">
        <v>0</v>
      </c>
      <c r="AD49" s="272">
        <v>0</v>
      </c>
      <c r="AE49" s="272">
        <v>0</v>
      </c>
      <c r="AF49" s="271">
        <f t="shared" si="16"/>
        <v>0</v>
      </c>
      <c r="AG49" s="277">
        <f t="shared" si="17"/>
        <v>0</v>
      </c>
    </row>
    <row r="50" spans="1:35" ht="18.75" x14ac:dyDescent="0.25">
      <c r="A50" s="73" t="s">
        <v>137</v>
      </c>
      <c r="B50" s="72"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2">
        <v>0</v>
      </c>
      <c r="U50" s="272">
        <v>0</v>
      </c>
      <c r="V50" s="272">
        <v>0</v>
      </c>
      <c r="W50" s="272">
        <v>0</v>
      </c>
      <c r="X50" s="272">
        <v>0</v>
      </c>
      <c r="Y50" s="272">
        <v>0</v>
      </c>
      <c r="Z50" s="272">
        <v>0</v>
      </c>
      <c r="AA50" s="272">
        <v>0</v>
      </c>
      <c r="AB50" s="272">
        <v>0</v>
      </c>
      <c r="AC50" s="272">
        <v>0</v>
      </c>
      <c r="AD50" s="272">
        <v>0</v>
      </c>
      <c r="AE50" s="272">
        <v>0</v>
      </c>
      <c r="AF50" s="271">
        <f t="shared" si="16"/>
        <v>0</v>
      </c>
      <c r="AG50" s="277">
        <f t="shared" si="17"/>
        <v>0</v>
      </c>
    </row>
    <row r="51" spans="1:35" ht="35.25" customHeight="1" x14ac:dyDescent="0.25">
      <c r="A51" s="76" t="s">
        <v>57</v>
      </c>
      <c r="B51" s="75"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v>0</v>
      </c>
      <c r="U51" s="271">
        <v>0</v>
      </c>
      <c r="V51" s="271">
        <v>0</v>
      </c>
      <c r="W51" s="271">
        <v>0</v>
      </c>
      <c r="X51" s="271">
        <v>0</v>
      </c>
      <c r="Y51" s="271">
        <v>0</v>
      </c>
      <c r="Z51" s="271">
        <v>0</v>
      </c>
      <c r="AA51" s="271">
        <v>0</v>
      </c>
      <c r="AB51" s="271">
        <v>0</v>
      </c>
      <c r="AC51" s="271">
        <v>0</v>
      </c>
      <c r="AD51" s="271">
        <v>0</v>
      </c>
      <c r="AE51" s="271">
        <v>0</v>
      </c>
      <c r="AF51" s="271">
        <f t="shared" si="16"/>
        <v>0</v>
      </c>
      <c r="AG51" s="277">
        <f t="shared" si="17"/>
        <v>0</v>
      </c>
    </row>
    <row r="52" spans="1:35" x14ac:dyDescent="0.25">
      <c r="A52" s="73" t="s">
        <v>134</v>
      </c>
      <c r="B52" s="47"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2">
        <v>0</v>
      </c>
      <c r="U52" s="272">
        <v>0</v>
      </c>
      <c r="V52" s="272">
        <v>0</v>
      </c>
      <c r="W52" s="272">
        <v>0</v>
      </c>
      <c r="X52" s="272">
        <v>0</v>
      </c>
      <c r="Y52" s="272">
        <v>0</v>
      </c>
      <c r="Z52" s="272">
        <v>0</v>
      </c>
      <c r="AA52" s="272">
        <v>0</v>
      </c>
      <c r="AB52" s="272">
        <v>0</v>
      </c>
      <c r="AC52" s="272">
        <v>0</v>
      </c>
      <c r="AD52" s="272">
        <v>0</v>
      </c>
      <c r="AE52" s="272">
        <v>0</v>
      </c>
      <c r="AF52" s="271">
        <f t="shared" si="16"/>
        <v>0</v>
      </c>
      <c r="AG52" s="277">
        <f t="shared" si="17"/>
        <v>0</v>
      </c>
      <c r="AI52" s="410">
        <f>G52+J52+N52+AG52</f>
        <v>0</v>
      </c>
    </row>
    <row r="53" spans="1:35" x14ac:dyDescent="0.25">
      <c r="A53" s="73" t="s">
        <v>132</v>
      </c>
      <c r="B53" s="47"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2">
        <v>0</v>
      </c>
      <c r="U53" s="272">
        <v>0</v>
      </c>
      <c r="V53" s="272">
        <v>0</v>
      </c>
      <c r="W53" s="272">
        <v>0</v>
      </c>
      <c r="X53" s="272">
        <v>0</v>
      </c>
      <c r="Y53" s="272">
        <v>0</v>
      </c>
      <c r="Z53" s="272">
        <v>0</v>
      </c>
      <c r="AA53" s="272">
        <v>0</v>
      </c>
      <c r="AB53" s="272">
        <v>0</v>
      </c>
      <c r="AC53" s="272">
        <v>0</v>
      </c>
      <c r="AD53" s="272">
        <v>0</v>
      </c>
      <c r="AE53" s="272">
        <v>0</v>
      </c>
      <c r="AF53" s="271">
        <f t="shared" si="16"/>
        <v>0</v>
      </c>
      <c r="AG53" s="277">
        <f t="shared" si="17"/>
        <v>0</v>
      </c>
    </row>
    <row r="54" spans="1:35" x14ac:dyDescent="0.25">
      <c r="A54" s="73" t="s">
        <v>131</v>
      </c>
      <c r="B54" s="72"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1">
        <f t="shared" si="16"/>
        <v>0</v>
      </c>
      <c r="AG54" s="277">
        <f t="shared" si="17"/>
        <v>0</v>
      </c>
    </row>
    <row r="55" spans="1:35" x14ac:dyDescent="0.25">
      <c r="A55" s="73" t="s">
        <v>130</v>
      </c>
      <c r="B55" s="72"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2">
        <v>0</v>
      </c>
      <c r="U55" s="272">
        <v>0</v>
      </c>
      <c r="V55" s="272">
        <v>0</v>
      </c>
      <c r="W55" s="272">
        <v>0</v>
      </c>
      <c r="X55" s="272">
        <v>0</v>
      </c>
      <c r="Y55" s="272">
        <v>0</v>
      </c>
      <c r="Z55" s="272">
        <v>0</v>
      </c>
      <c r="AA55" s="272">
        <v>0</v>
      </c>
      <c r="AB55" s="272">
        <v>0</v>
      </c>
      <c r="AC55" s="272">
        <v>0</v>
      </c>
      <c r="AD55" s="272">
        <v>0</v>
      </c>
      <c r="AE55" s="272">
        <v>0</v>
      </c>
      <c r="AF55" s="271">
        <f t="shared" si="16"/>
        <v>0</v>
      </c>
      <c r="AG55" s="277">
        <f t="shared" si="17"/>
        <v>0</v>
      </c>
    </row>
    <row r="56" spans="1:35" x14ac:dyDescent="0.25">
      <c r="A56" s="73" t="s">
        <v>129</v>
      </c>
      <c r="B56" s="72"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2">
        <v>0</v>
      </c>
      <c r="U56" s="272">
        <v>0</v>
      </c>
      <c r="V56" s="272">
        <v>0</v>
      </c>
      <c r="W56" s="272">
        <v>0</v>
      </c>
      <c r="X56" s="272">
        <v>0</v>
      </c>
      <c r="Y56" s="272">
        <v>0</v>
      </c>
      <c r="Z56" s="272">
        <v>0</v>
      </c>
      <c r="AA56" s="272">
        <v>0</v>
      </c>
      <c r="AB56" s="272">
        <v>0</v>
      </c>
      <c r="AC56" s="272">
        <v>0</v>
      </c>
      <c r="AD56" s="272">
        <v>0</v>
      </c>
      <c r="AE56" s="272">
        <v>0</v>
      </c>
      <c r="AF56" s="271">
        <f t="shared" si="16"/>
        <v>0</v>
      </c>
      <c r="AG56" s="277">
        <f t="shared" si="17"/>
        <v>0</v>
      </c>
    </row>
    <row r="57" spans="1:35" ht="18.75" x14ac:dyDescent="0.25">
      <c r="A57" s="73" t="s">
        <v>128</v>
      </c>
      <c r="B57" s="72"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2">
        <v>0</v>
      </c>
      <c r="U57" s="272">
        <v>0</v>
      </c>
      <c r="V57" s="272">
        <v>0</v>
      </c>
      <c r="W57" s="272">
        <v>0</v>
      </c>
      <c r="X57" s="272">
        <v>0</v>
      </c>
      <c r="Y57" s="272">
        <v>0</v>
      </c>
      <c r="Z57" s="272">
        <v>0</v>
      </c>
      <c r="AA57" s="272">
        <v>0</v>
      </c>
      <c r="AB57" s="272">
        <v>0</v>
      </c>
      <c r="AC57" s="272">
        <v>0</v>
      </c>
      <c r="AD57" s="272">
        <v>0</v>
      </c>
      <c r="AE57" s="272">
        <v>0</v>
      </c>
      <c r="AF57" s="271">
        <f t="shared" si="16"/>
        <v>0</v>
      </c>
      <c r="AG57" s="277">
        <f t="shared" si="17"/>
        <v>0</v>
      </c>
    </row>
    <row r="58" spans="1:35" ht="36.75" customHeight="1" x14ac:dyDescent="0.25">
      <c r="A58" s="76" t="s">
        <v>56</v>
      </c>
      <c r="B58" s="97"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v>0</v>
      </c>
      <c r="U58" s="271">
        <v>0</v>
      </c>
      <c r="V58" s="271">
        <v>0</v>
      </c>
      <c r="W58" s="271">
        <v>0</v>
      </c>
      <c r="X58" s="271">
        <v>0</v>
      </c>
      <c r="Y58" s="271">
        <v>0</v>
      </c>
      <c r="Z58" s="271">
        <v>0</v>
      </c>
      <c r="AA58" s="271">
        <v>0</v>
      </c>
      <c r="AB58" s="271">
        <v>0</v>
      </c>
      <c r="AC58" s="271">
        <v>0</v>
      </c>
      <c r="AD58" s="271">
        <v>0</v>
      </c>
      <c r="AE58" s="271">
        <v>0</v>
      </c>
      <c r="AF58" s="271">
        <f t="shared" si="16"/>
        <v>0</v>
      </c>
      <c r="AG58" s="277">
        <f t="shared" si="17"/>
        <v>0</v>
      </c>
    </row>
    <row r="59" spans="1:35" x14ac:dyDescent="0.25">
      <c r="A59" s="76" t="s">
        <v>54</v>
      </c>
      <c r="B59" s="75"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v>0</v>
      </c>
      <c r="U59" s="271">
        <v>0</v>
      </c>
      <c r="V59" s="271">
        <v>0</v>
      </c>
      <c r="W59" s="271">
        <v>0</v>
      </c>
      <c r="X59" s="271">
        <v>0</v>
      </c>
      <c r="Y59" s="271">
        <v>0</v>
      </c>
      <c r="Z59" s="271">
        <v>0</v>
      </c>
      <c r="AA59" s="271">
        <v>0</v>
      </c>
      <c r="AB59" s="271">
        <v>0</v>
      </c>
      <c r="AC59" s="271">
        <v>0</v>
      </c>
      <c r="AD59" s="271">
        <v>0</v>
      </c>
      <c r="AE59" s="271">
        <v>0</v>
      </c>
      <c r="AF59" s="271">
        <f t="shared" si="16"/>
        <v>0</v>
      </c>
      <c r="AG59" s="277">
        <f t="shared" si="17"/>
        <v>0</v>
      </c>
    </row>
    <row r="60" spans="1:35" x14ac:dyDescent="0.25">
      <c r="A60" s="73" t="s">
        <v>220</v>
      </c>
      <c r="B60" s="74"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2">
        <v>0</v>
      </c>
      <c r="U60" s="272">
        <v>0</v>
      </c>
      <c r="V60" s="272">
        <v>0</v>
      </c>
      <c r="W60" s="272">
        <v>0</v>
      </c>
      <c r="X60" s="272">
        <v>0</v>
      </c>
      <c r="Y60" s="272">
        <v>0</v>
      </c>
      <c r="Z60" s="272">
        <v>0</v>
      </c>
      <c r="AA60" s="272">
        <v>0</v>
      </c>
      <c r="AB60" s="272">
        <v>0</v>
      </c>
      <c r="AC60" s="272">
        <v>0</v>
      </c>
      <c r="AD60" s="272">
        <v>0</v>
      </c>
      <c r="AE60" s="272">
        <v>0</v>
      </c>
      <c r="AF60" s="271">
        <f t="shared" si="16"/>
        <v>0</v>
      </c>
      <c r="AG60" s="277">
        <f t="shared" si="17"/>
        <v>0</v>
      </c>
    </row>
    <row r="61" spans="1:35" x14ac:dyDescent="0.25">
      <c r="A61" s="73" t="s">
        <v>221</v>
      </c>
      <c r="B61" s="74"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2">
        <v>0</v>
      </c>
      <c r="U61" s="272">
        <v>0</v>
      </c>
      <c r="V61" s="272">
        <v>0</v>
      </c>
      <c r="W61" s="272">
        <v>0</v>
      </c>
      <c r="X61" s="272">
        <v>0</v>
      </c>
      <c r="Y61" s="272">
        <v>0</v>
      </c>
      <c r="Z61" s="272">
        <v>0</v>
      </c>
      <c r="AA61" s="272">
        <v>0</v>
      </c>
      <c r="AB61" s="272">
        <v>0</v>
      </c>
      <c r="AC61" s="272">
        <v>0</v>
      </c>
      <c r="AD61" s="272">
        <v>0</v>
      </c>
      <c r="AE61" s="272">
        <v>0</v>
      </c>
      <c r="AF61" s="271">
        <f t="shared" si="16"/>
        <v>0</v>
      </c>
      <c r="AG61" s="277">
        <f t="shared" si="17"/>
        <v>0</v>
      </c>
    </row>
    <row r="62" spans="1:35" x14ac:dyDescent="0.25">
      <c r="A62" s="73" t="s">
        <v>222</v>
      </c>
      <c r="B62" s="74"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2">
        <v>0</v>
      </c>
      <c r="U62" s="272">
        <v>0</v>
      </c>
      <c r="V62" s="272">
        <v>0</v>
      </c>
      <c r="W62" s="272">
        <v>0</v>
      </c>
      <c r="X62" s="272">
        <v>0</v>
      </c>
      <c r="Y62" s="272">
        <v>0</v>
      </c>
      <c r="Z62" s="272">
        <v>0</v>
      </c>
      <c r="AA62" s="272">
        <v>0</v>
      </c>
      <c r="AB62" s="272">
        <v>0</v>
      </c>
      <c r="AC62" s="272">
        <v>0</v>
      </c>
      <c r="AD62" s="272">
        <v>0</v>
      </c>
      <c r="AE62" s="272">
        <v>0</v>
      </c>
      <c r="AF62" s="271">
        <f t="shared" si="16"/>
        <v>0</v>
      </c>
      <c r="AG62" s="277">
        <f t="shared" si="17"/>
        <v>0</v>
      </c>
    </row>
    <row r="63" spans="1:35" x14ac:dyDescent="0.25">
      <c r="A63" s="73" t="s">
        <v>223</v>
      </c>
      <c r="B63" s="74"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72">
        <v>0</v>
      </c>
      <c r="AC63" s="272">
        <v>0</v>
      </c>
      <c r="AD63" s="272">
        <v>0</v>
      </c>
      <c r="AE63" s="272">
        <v>0</v>
      </c>
      <c r="AF63" s="271">
        <f t="shared" si="16"/>
        <v>0</v>
      </c>
      <c r="AG63" s="277">
        <f t="shared" si="17"/>
        <v>0</v>
      </c>
    </row>
    <row r="64" spans="1:35" ht="18.75" x14ac:dyDescent="0.25">
      <c r="A64" s="73" t="s">
        <v>224</v>
      </c>
      <c r="B64" s="72"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2">
        <v>0</v>
      </c>
      <c r="W64" s="272">
        <v>0</v>
      </c>
      <c r="X64" s="272">
        <v>0</v>
      </c>
      <c r="Y64" s="272">
        <v>0</v>
      </c>
      <c r="Z64" s="272">
        <v>0</v>
      </c>
      <c r="AA64" s="272">
        <v>0</v>
      </c>
      <c r="AB64" s="272">
        <v>0</v>
      </c>
      <c r="AC64" s="272">
        <v>0</v>
      </c>
      <c r="AD64" s="272">
        <v>0</v>
      </c>
      <c r="AE64" s="272">
        <v>0</v>
      </c>
      <c r="AF64" s="271">
        <f t="shared" si="16"/>
        <v>0</v>
      </c>
      <c r="AG64" s="277">
        <f t="shared" si="17"/>
        <v>0</v>
      </c>
    </row>
    <row r="65" spans="1:32"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row>
    <row r="66" spans="1:32" ht="54" customHeight="1" x14ac:dyDescent="0.25">
      <c r="A66" s="60"/>
      <c r="B66" s="511"/>
      <c r="C66" s="511"/>
      <c r="D66" s="511"/>
      <c r="E66" s="511"/>
      <c r="F66" s="511"/>
      <c r="G66" s="511"/>
      <c r="H66" s="511"/>
      <c r="I66" s="511"/>
      <c r="J66" s="64"/>
      <c r="K66" s="64"/>
      <c r="L66" s="68"/>
      <c r="M66" s="68"/>
      <c r="N66" s="68"/>
      <c r="O66" s="68"/>
      <c r="P66" s="68"/>
      <c r="Q66" s="68"/>
      <c r="R66" s="68"/>
      <c r="S66" s="68"/>
      <c r="T66" s="68"/>
      <c r="U66" s="68"/>
      <c r="V66" s="68"/>
      <c r="W66" s="68"/>
      <c r="X66" s="68"/>
      <c r="Y66" s="68"/>
      <c r="Z66" s="68"/>
      <c r="AA66" s="68"/>
      <c r="AB66" s="68"/>
      <c r="AC66" s="68"/>
      <c r="AD66" s="68"/>
      <c r="AE66" s="68"/>
      <c r="AF66" s="68"/>
    </row>
    <row r="67" spans="1:32"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row>
    <row r="68" spans="1:32" ht="50.25" customHeight="1" x14ac:dyDescent="0.25">
      <c r="A68" s="60"/>
      <c r="B68" s="512"/>
      <c r="C68" s="512"/>
      <c r="D68" s="512"/>
      <c r="E68" s="512"/>
      <c r="F68" s="512"/>
      <c r="G68" s="512"/>
      <c r="H68" s="512"/>
      <c r="I68" s="512"/>
      <c r="J68" s="65"/>
      <c r="K68" s="65"/>
      <c r="L68" s="60"/>
      <c r="M68" s="60"/>
      <c r="N68" s="60"/>
      <c r="O68" s="60"/>
      <c r="P68" s="60"/>
      <c r="Q68" s="60"/>
      <c r="R68" s="60"/>
      <c r="S68" s="60"/>
      <c r="T68" s="60"/>
      <c r="U68" s="60"/>
      <c r="V68" s="60"/>
      <c r="W68" s="60"/>
      <c r="X68" s="60"/>
      <c r="Y68" s="60"/>
      <c r="Z68" s="60"/>
      <c r="AA68" s="60"/>
      <c r="AB68" s="60"/>
      <c r="AC68" s="60"/>
      <c r="AD68" s="60"/>
      <c r="AE68" s="60"/>
      <c r="AF68" s="60"/>
    </row>
    <row r="69" spans="1:32"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row>
    <row r="70" spans="1:32" ht="36.75" customHeight="1" x14ac:dyDescent="0.25">
      <c r="A70" s="60"/>
      <c r="B70" s="511"/>
      <c r="C70" s="511"/>
      <c r="D70" s="511"/>
      <c r="E70" s="511"/>
      <c r="F70" s="511"/>
      <c r="G70" s="511"/>
      <c r="H70" s="511"/>
      <c r="I70" s="511"/>
      <c r="J70" s="64"/>
      <c r="K70" s="64"/>
      <c r="L70" s="60"/>
      <c r="M70" s="60"/>
      <c r="N70" s="60"/>
      <c r="O70" s="60"/>
      <c r="P70" s="60"/>
      <c r="Q70" s="60"/>
      <c r="R70" s="60"/>
      <c r="S70" s="60"/>
      <c r="T70" s="60"/>
      <c r="U70" s="60"/>
      <c r="V70" s="60"/>
      <c r="W70" s="60"/>
      <c r="X70" s="60"/>
      <c r="Y70" s="60"/>
      <c r="Z70" s="60"/>
      <c r="AA70" s="60"/>
      <c r="AB70" s="60"/>
      <c r="AC70" s="60"/>
      <c r="AD70" s="60"/>
      <c r="AE70" s="60"/>
      <c r="AF70" s="60"/>
    </row>
    <row r="71" spans="1:32"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row>
    <row r="72" spans="1:32" ht="51" customHeight="1" x14ac:dyDescent="0.25">
      <c r="A72" s="60"/>
      <c r="B72" s="511"/>
      <c r="C72" s="511"/>
      <c r="D72" s="511"/>
      <c r="E72" s="511"/>
      <c r="F72" s="511"/>
      <c r="G72" s="511"/>
      <c r="H72" s="511"/>
      <c r="I72" s="511"/>
      <c r="J72" s="64"/>
      <c r="K72" s="64"/>
      <c r="L72" s="60"/>
      <c r="M72" s="60"/>
      <c r="N72" s="66"/>
      <c r="O72" s="60"/>
      <c r="P72" s="60"/>
      <c r="Q72" s="60"/>
      <c r="R72" s="60"/>
      <c r="S72" s="60"/>
      <c r="T72" s="60"/>
      <c r="U72" s="60"/>
      <c r="V72" s="60"/>
      <c r="W72" s="60"/>
      <c r="X72" s="60"/>
      <c r="Y72" s="60"/>
      <c r="Z72" s="60"/>
      <c r="AA72" s="60"/>
      <c r="AB72" s="60"/>
      <c r="AC72" s="60"/>
      <c r="AD72" s="60"/>
      <c r="AE72" s="60"/>
      <c r="AF72" s="60"/>
    </row>
    <row r="73" spans="1:32" ht="32.25" customHeight="1" x14ac:dyDescent="0.25">
      <c r="A73" s="60"/>
      <c r="B73" s="512"/>
      <c r="C73" s="512"/>
      <c r="D73" s="512"/>
      <c r="E73" s="512"/>
      <c r="F73" s="512"/>
      <c r="G73" s="512"/>
      <c r="H73" s="512"/>
      <c r="I73" s="512"/>
      <c r="J73" s="65"/>
      <c r="K73" s="65"/>
      <c r="L73" s="60"/>
      <c r="M73" s="60"/>
      <c r="N73" s="60"/>
      <c r="O73" s="60"/>
      <c r="P73" s="60"/>
      <c r="Q73" s="60"/>
      <c r="R73" s="60"/>
      <c r="S73" s="60"/>
      <c r="T73" s="60"/>
      <c r="U73" s="60"/>
      <c r="V73" s="60"/>
      <c r="W73" s="60"/>
      <c r="X73" s="60"/>
      <c r="Y73" s="60"/>
      <c r="Z73" s="60"/>
      <c r="AA73" s="60"/>
      <c r="AB73" s="60"/>
      <c r="AC73" s="60"/>
      <c r="AD73" s="60"/>
      <c r="AE73" s="60"/>
      <c r="AF73" s="60"/>
    </row>
    <row r="74" spans="1:32" ht="51.75" customHeight="1" x14ac:dyDescent="0.25">
      <c r="A74" s="60"/>
      <c r="B74" s="511"/>
      <c r="C74" s="511"/>
      <c r="D74" s="511"/>
      <c r="E74" s="511"/>
      <c r="F74" s="511"/>
      <c r="G74" s="511"/>
      <c r="H74" s="511"/>
      <c r="I74" s="511"/>
      <c r="J74" s="64"/>
      <c r="K74" s="64"/>
      <c r="L74" s="60"/>
      <c r="M74" s="60"/>
      <c r="N74" s="60"/>
      <c r="O74" s="60"/>
      <c r="P74" s="60"/>
      <c r="Q74" s="60"/>
      <c r="R74" s="60"/>
      <c r="S74" s="60"/>
      <c r="T74" s="60"/>
      <c r="U74" s="60"/>
      <c r="V74" s="60"/>
      <c r="W74" s="60"/>
      <c r="X74" s="60"/>
      <c r="Y74" s="60"/>
      <c r="Z74" s="60"/>
      <c r="AA74" s="60"/>
      <c r="AB74" s="60"/>
      <c r="AC74" s="60"/>
      <c r="AD74" s="60"/>
      <c r="AE74" s="60"/>
      <c r="AF74" s="60"/>
    </row>
    <row r="75" spans="1:32" ht="21.75" customHeight="1" x14ac:dyDescent="0.25">
      <c r="A75" s="60"/>
      <c r="B75" s="509"/>
      <c r="C75" s="509"/>
      <c r="D75" s="509"/>
      <c r="E75" s="509"/>
      <c r="F75" s="509"/>
      <c r="G75" s="509"/>
      <c r="H75" s="509"/>
      <c r="I75" s="509"/>
      <c r="J75" s="63"/>
      <c r="K75" s="63"/>
      <c r="L75" s="62"/>
      <c r="M75" s="62"/>
      <c r="N75" s="60"/>
      <c r="O75" s="60"/>
      <c r="P75" s="60"/>
      <c r="Q75" s="60"/>
      <c r="R75" s="60"/>
      <c r="S75" s="60"/>
      <c r="T75" s="60"/>
      <c r="U75" s="60"/>
      <c r="V75" s="60"/>
      <c r="W75" s="60"/>
      <c r="X75" s="60"/>
      <c r="Y75" s="60"/>
      <c r="Z75" s="60"/>
      <c r="AA75" s="60"/>
      <c r="AB75" s="60"/>
      <c r="AC75" s="60"/>
      <c r="AD75" s="60"/>
      <c r="AE75" s="60"/>
      <c r="AF75" s="60"/>
    </row>
    <row r="76" spans="1:32"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row>
    <row r="77" spans="1:32" ht="18.75" customHeight="1" x14ac:dyDescent="0.25">
      <c r="A77" s="60"/>
      <c r="B77" s="510"/>
      <c r="C77" s="510"/>
      <c r="D77" s="510"/>
      <c r="E77" s="510"/>
      <c r="F77" s="510"/>
      <c r="G77" s="510"/>
      <c r="H77" s="510"/>
      <c r="I77" s="510"/>
      <c r="J77" s="61"/>
      <c r="K77" s="61"/>
      <c r="L77" s="60"/>
      <c r="M77" s="60"/>
      <c r="N77" s="60"/>
      <c r="O77" s="60"/>
      <c r="P77" s="60"/>
      <c r="Q77" s="60"/>
      <c r="R77" s="60"/>
      <c r="S77" s="60"/>
      <c r="T77" s="60"/>
      <c r="U77" s="60"/>
      <c r="V77" s="60"/>
      <c r="W77" s="60"/>
      <c r="X77" s="60"/>
      <c r="Y77" s="60"/>
      <c r="Z77" s="60"/>
      <c r="AA77" s="60"/>
      <c r="AB77" s="60"/>
      <c r="AC77" s="60"/>
      <c r="AD77" s="60"/>
      <c r="AE77" s="60"/>
      <c r="AF77" s="60"/>
    </row>
    <row r="78" spans="1:32"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row>
    <row r="79" spans="1:32"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row>
    <row r="80" spans="1:32"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0:AE20"/>
    <mergeCell ref="T20:W20"/>
    <mergeCell ref="T21:U21"/>
    <mergeCell ref="V21:W21"/>
    <mergeCell ref="AB21:AC21"/>
    <mergeCell ref="AD21:AE21"/>
    <mergeCell ref="X20:AA20"/>
    <mergeCell ref="X21:Y21"/>
    <mergeCell ref="Z21:AA21"/>
  </mergeCells>
  <conditionalFormatting sqref="AB24:AF64 C24:W64">
    <cfRule type="cellIs" dxfId="2" priority="3" operator="notEqual">
      <formula>0</formula>
    </cfRule>
  </conditionalFormatting>
  <conditionalFormatting sqref="AG24:AG64">
    <cfRule type="cellIs" dxfId="1" priority="2" operator="notEqual">
      <formula>0</formula>
    </cfRule>
  </conditionalFormatting>
  <conditionalFormatting sqref="X24: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S23"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7" width="13.28515625" style="18" customWidth="1"/>
    <col min="28" max="28" width="14.855468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23" t="str">
        <f>'1. паспорт местоположение'!A12:C12</f>
        <v>I_17-1850</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3" t="str">
        <f>'1. паспорт местоположение'!A15</f>
        <v>Строительство ТП 15/0,4 кВ, ЛЭП 15 кВ от ВЛ 15-06 (инв.5115422) п. Яблоневка Гурьевский ГО</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5" customFormat="1" x14ac:dyDescent="0.25">
      <c r="A21" s="513" t="s">
        <v>509</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14" t="s">
        <v>50</v>
      </c>
      <c r="B22" s="517" t="s">
        <v>22</v>
      </c>
      <c r="C22" s="514" t="s">
        <v>49</v>
      </c>
      <c r="D22" s="514" t="s">
        <v>48</v>
      </c>
      <c r="E22" s="520" t="s">
        <v>520</v>
      </c>
      <c r="F22" s="521"/>
      <c r="G22" s="521"/>
      <c r="H22" s="521"/>
      <c r="I22" s="521"/>
      <c r="J22" s="521"/>
      <c r="K22" s="521"/>
      <c r="L22" s="522"/>
      <c r="M22" s="514" t="s">
        <v>47</v>
      </c>
      <c r="N22" s="514" t="s">
        <v>46</v>
      </c>
      <c r="O22" s="514" t="s">
        <v>45</v>
      </c>
      <c r="P22" s="523" t="s">
        <v>255</v>
      </c>
      <c r="Q22" s="523" t="s">
        <v>44</v>
      </c>
      <c r="R22" s="523" t="s">
        <v>43</v>
      </c>
      <c r="S22" s="523" t="s">
        <v>42</v>
      </c>
      <c r="T22" s="523"/>
      <c r="U22" s="524" t="s">
        <v>41</v>
      </c>
      <c r="V22" s="524" t="s">
        <v>40</v>
      </c>
      <c r="W22" s="523" t="s">
        <v>39</v>
      </c>
      <c r="X22" s="523" t="s">
        <v>38</v>
      </c>
      <c r="Y22" s="523" t="s">
        <v>37</v>
      </c>
      <c r="Z22" s="537"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27" t="s">
        <v>23</v>
      </c>
    </row>
    <row r="23" spans="1:48" s="25" customFormat="1" ht="64.5" customHeight="1" x14ac:dyDescent="0.25">
      <c r="A23" s="515"/>
      <c r="B23" s="518"/>
      <c r="C23" s="515"/>
      <c r="D23" s="515"/>
      <c r="E23" s="529" t="s">
        <v>21</v>
      </c>
      <c r="F23" s="531" t="s">
        <v>126</v>
      </c>
      <c r="G23" s="531" t="s">
        <v>125</v>
      </c>
      <c r="H23" s="531" t="s">
        <v>124</v>
      </c>
      <c r="I23" s="535" t="s">
        <v>430</v>
      </c>
      <c r="J23" s="535" t="s">
        <v>431</v>
      </c>
      <c r="K23" s="535" t="s">
        <v>432</v>
      </c>
      <c r="L23" s="531" t="s">
        <v>74</v>
      </c>
      <c r="M23" s="515"/>
      <c r="N23" s="515"/>
      <c r="O23" s="515"/>
      <c r="P23" s="523"/>
      <c r="Q23" s="523"/>
      <c r="R23" s="523"/>
      <c r="S23" s="533" t="s">
        <v>2</v>
      </c>
      <c r="T23" s="533" t="s">
        <v>9</v>
      </c>
      <c r="U23" s="524"/>
      <c r="V23" s="524"/>
      <c r="W23" s="523"/>
      <c r="X23" s="523"/>
      <c r="Y23" s="523"/>
      <c r="Z23" s="523"/>
      <c r="AA23" s="523"/>
      <c r="AB23" s="523"/>
      <c r="AC23" s="523"/>
      <c r="AD23" s="523"/>
      <c r="AE23" s="523"/>
      <c r="AF23" s="523" t="s">
        <v>20</v>
      </c>
      <c r="AG23" s="523"/>
      <c r="AH23" s="523" t="s">
        <v>19</v>
      </c>
      <c r="AI23" s="523"/>
      <c r="AJ23" s="514" t="s">
        <v>18</v>
      </c>
      <c r="AK23" s="514" t="s">
        <v>17</v>
      </c>
      <c r="AL23" s="514" t="s">
        <v>16</v>
      </c>
      <c r="AM23" s="514" t="s">
        <v>15</v>
      </c>
      <c r="AN23" s="514" t="s">
        <v>14</v>
      </c>
      <c r="AO23" s="514" t="s">
        <v>13</v>
      </c>
      <c r="AP23" s="514" t="s">
        <v>12</v>
      </c>
      <c r="AQ23" s="525" t="s">
        <v>9</v>
      </c>
      <c r="AR23" s="523"/>
      <c r="AS23" s="523"/>
      <c r="AT23" s="523"/>
      <c r="AU23" s="523"/>
      <c r="AV23" s="528"/>
    </row>
    <row r="24" spans="1:48" s="25" customFormat="1" ht="96.75" customHeight="1" x14ac:dyDescent="0.25">
      <c r="A24" s="516"/>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47" t="s">
        <v>11</v>
      </c>
      <c r="AG24" s="147" t="s">
        <v>10</v>
      </c>
      <c r="AH24" s="148" t="s">
        <v>2</v>
      </c>
      <c r="AI24" s="148" t="s">
        <v>9</v>
      </c>
      <c r="AJ24" s="516"/>
      <c r="AK24" s="516"/>
      <c r="AL24" s="516"/>
      <c r="AM24" s="516"/>
      <c r="AN24" s="516"/>
      <c r="AO24" s="516"/>
      <c r="AP24" s="516"/>
      <c r="AQ24" s="526"/>
      <c r="AR24" s="523"/>
      <c r="AS24" s="523"/>
      <c r="AT24" s="523"/>
      <c r="AU24" s="523"/>
      <c r="AV24" s="52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1" t="s">
        <v>530</v>
      </c>
      <c r="C26" s="20" t="s">
        <v>62</v>
      </c>
      <c r="D26" s="21" t="s">
        <v>645</v>
      </c>
      <c r="E26" s="310"/>
      <c r="F26" s="310"/>
      <c r="G26" s="310">
        <v>0.25</v>
      </c>
      <c r="H26" s="310"/>
      <c r="I26" s="310">
        <f>'3.2 паспорт Техсостояние ЛЭП'!R25</f>
        <v>0.02</v>
      </c>
      <c r="J26" s="310"/>
      <c r="K26" s="310">
        <v>0</v>
      </c>
      <c r="L26" s="331"/>
      <c r="M26" s="332" t="s">
        <v>699</v>
      </c>
      <c r="N26" s="311" t="s">
        <v>700</v>
      </c>
      <c r="O26" s="311" t="str">
        <f>B26</f>
        <v>АО "Янтарьэнерго"</v>
      </c>
      <c r="P26" s="23">
        <v>83</v>
      </c>
      <c r="Q26" s="20" t="s">
        <v>689</v>
      </c>
      <c r="R26" s="23">
        <v>83</v>
      </c>
      <c r="S26" s="20" t="s">
        <v>690</v>
      </c>
      <c r="T26" s="20" t="s">
        <v>701</v>
      </c>
      <c r="U26" s="22">
        <v>3</v>
      </c>
      <c r="V26" s="22">
        <v>3</v>
      </c>
      <c r="W26" s="332" t="s">
        <v>702</v>
      </c>
      <c r="X26" s="23">
        <v>65</v>
      </c>
      <c r="Y26" s="20"/>
      <c r="Z26" s="341"/>
      <c r="AA26" s="23"/>
      <c r="AB26" s="23">
        <v>65</v>
      </c>
      <c r="AC26" s="332" t="s">
        <v>702</v>
      </c>
      <c r="AD26" s="23">
        <v>65</v>
      </c>
      <c r="AE26" s="23"/>
      <c r="AF26" s="22" t="s">
        <v>691</v>
      </c>
      <c r="AG26" s="332" t="s">
        <v>692</v>
      </c>
      <c r="AH26" s="21">
        <v>43074</v>
      </c>
      <c r="AI26" s="21">
        <v>43074</v>
      </c>
      <c r="AJ26" s="21">
        <v>43245</v>
      </c>
      <c r="AK26" s="21">
        <v>43245</v>
      </c>
      <c r="AL26" s="20"/>
      <c r="AM26" s="20"/>
      <c r="AN26" s="21"/>
      <c r="AO26" s="20"/>
      <c r="AP26" s="21">
        <v>43291</v>
      </c>
      <c r="AQ26" s="21">
        <v>43291</v>
      </c>
      <c r="AR26" s="21">
        <v>43291</v>
      </c>
      <c r="AS26" s="21">
        <v>43291</v>
      </c>
      <c r="AT26" s="21">
        <v>43353</v>
      </c>
      <c r="AU26" s="20"/>
      <c r="AV26" s="332"/>
    </row>
    <row r="27" spans="1:48" s="19" customFormat="1" ht="22.5" x14ac:dyDescent="0.2">
      <c r="A27" s="392"/>
      <c r="B27" s="393"/>
      <c r="C27" s="394"/>
      <c r="D27" s="395"/>
      <c r="E27" s="396"/>
      <c r="F27" s="396"/>
      <c r="G27" s="396"/>
      <c r="H27" s="396"/>
      <c r="I27" s="396"/>
      <c r="J27" s="396"/>
      <c r="K27" s="396"/>
      <c r="L27" s="397"/>
      <c r="M27" s="398"/>
      <c r="N27" s="393"/>
      <c r="O27" s="393"/>
      <c r="P27" s="399"/>
      <c r="Q27" s="394"/>
      <c r="R27" s="399"/>
      <c r="S27" s="394"/>
      <c r="T27" s="394"/>
      <c r="U27" s="392"/>
      <c r="V27" s="392"/>
      <c r="W27" s="398" t="s">
        <v>703</v>
      </c>
      <c r="X27" s="399">
        <v>82</v>
      </c>
      <c r="Y27" s="394"/>
      <c r="Z27" s="400"/>
      <c r="AA27" s="399"/>
      <c r="AB27" s="399"/>
      <c r="AC27" s="398"/>
      <c r="AD27" s="399"/>
      <c r="AE27" s="399"/>
      <c r="AF27" s="392"/>
      <c r="AG27" s="398"/>
      <c r="AH27" s="395"/>
      <c r="AI27" s="395"/>
      <c r="AJ27" s="395"/>
      <c r="AK27" s="395"/>
      <c r="AL27" s="394"/>
      <c r="AM27" s="394"/>
      <c r="AN27" s="395"/>
      <c r="AO27" s="394"/>
      <c r="AP27" s="395"/>
      <c r="AQ27" s="395"/>
      <c r="AR27" s="395"/>
      <c r="AS27" s="395"/>
      <c r="AT27" s="395"/>
      <c r="AU27" s="394"/>
      <c r="AV27" s="398"/>
    </row>
    <row r="28" spans="1:48" s="19" customFormat="1" ht="11.25" x14ac:dyDescent="0.2">
      <c r="A28" s="392"/>
      <c r="B28" s="393"/>
      <c r="C28" s="394"/>
      <c r="D28" s="395"/>
      <c r="E28" s="396"/>
      <c r="F28" s="396"/>
      <c r="G28" s="396"/>
      <c r="H28" s="396"/>
      <c r="I28" s="396"/>
      <c r="J28" s="396"/>
      <c r="K28" s="396"/>
      <c r="L28" s="397"/>
      <c r="M28" s="398"/>
      <c r="N28" s="393"/>
      <c r="O28" s="393"/>
      <c r="P28" s="399"/>
      <c r="Q28" s="394"/>
      <c r="R28" s="399"/>
      <c r="S28" s="394"/>
      <c r="T28" s="394"/>
      <c r="U28" s="392"/>
      <c r="V28" s="392"/>
      <c r="W28" s="398" t="s">
        <v>704</v>
      </c>
      <c r="X28" s="399">
        <v>83</v>
      </c>
      <c r="Y28" s="394"/>
      <c r="Z28" s="400"/>
      <c r="AA28" s="399"/>
      <c r="AB28" s="399"/>
      <c r="AC28" s="398"/>
      <c r="AD28" s="399"/>
      <c r="AE28" s="399"/>
      <c r="AF28" s="392"/>
      <c r="AG28" s="398"/>
      <c r="AH28" s="395"/>
      <c r="AI28" s="395"/>
      <c r="AJ28" s="395"/>
      <c r="AK28" s="395"/>
      <c r="AL28" s="394"/>
      <c r="AM28" s="394"/>
      <c r="AN28" s="395"/>
      <c r="AO28" s="394"/>
      <c r="AP28" s="395"/>
      <c r="AQ28" s="395"/>
      <c r="AR28" s="395"/>
      <c r="AS28" s="395"/>
      <c r="AT28" s="395"/>
      <c r="AU28" s="394"/>
      <c r="AV28" s="398"/>
    </row>
    <row r="29" spans="1:48" s="19" customFormat="1" ht="67.5" x14ac:dyDescent="0.2">
      <c r="A29" s="392">
        <v>2</v>
      </c>
      <c r="B29" s="311" t="s">
        <v>530</v>
      </c>
      <c r="C29" s="20" t="s">
        <v>62</v>
      </c>
      <c r="D29" s="21" t="s">
        <v>645</v>
      </c>
      <c r="E29" s="310"/>
      <c r="F29" s="310"/>
      <c r="G29" s="310">
        <f>G26</f>
        <v>0.25</v>
      </c>
      <c r="H29" s="310"/>
      <c r="I29" s="310">
        <f>I26</f>
        <v>0.02</v>
      </c>
      <c r="J29" s="310"/>
      <c r="K29" s="310">
        <f>K26</f>
        <v>0</v>
      </c>
      <c r="L29" s="331"/>
      <c r="M29" s="398" t="s">
        <v>705</v>
      </c>
      <c r="N29" s="393" t="s">
        <v>706</v>
      </c>
      <c r="O29" s="393" t="s">
        <v>530</v>
      </c>
      <c r="P29" s="402">
        <v>60000</v>
      </c>
      <c r="Q29" s="398" t="s">
        <v>707</v>
      </c>
      <c r="R29" s="402">
        <v>60000</v>
      </c>
      <c r="S29" s="398" t="s">
        <v>690</v>
      </c>
      <c r="T29" s="398" t="s">
        <v>708</v>
      </c>
      <c r="U29" s="403" t="s">
        <v>57</v>
      </c>
      <c r="V29" s="403" t="s">
        <v>57</v>
      </c>
      <c r="W29" s="398" t="s">
        <v>709</v>
      </c>
      <c r="X29" s="402">
        <v>59999.5</v>
      </c>
      <c r="Y29" s="398"/>
      <c r="Z29" s="393"/>
      <c r="AA29" s="402"/>
      <c r="AB29" s="402">
        <v>59999.5</v>
      </c>
      <c r="AC29" s="398" t="s">
        <v>709</v>
      </c>
      <c r="AD29" s="402">
        <f>'8. Общие сведения'!B50*1000</f>
        <v>372.01859999999999</v>
      </c>
      <c r="AE29" s="402"/>
      <c r="AF29" s="403" t="s">
        <v>710</v>
      </c>
      <c r="AG29" s="398" t="s">
        <v>711</v>
      </c>
      <c r="AH29" s="404">
        <v>43188</v>
      </c>
      <c r="AI29" s="404">
        <v>43188</v>
      </c>
      <c r="AJ29" s="404">
        <v>43209</v>
      </c>
      <c r="AK29" s="404">
        <v>43234</v>
      </c>
      <c r="AL29" s="398"/>
      <c r="AM29" s="398"/>
      <c r="AN29" s="404"/>
      <c r="AO29" s="398"/>
      <c r="AP29" s="404" t="s">
        <v>712</v>
      </c>
      <c r="AQ29" s="404" t="s">
        <v>712</v>
      </c>
      <c r="AR29" s="404" t="s">
        <v>712</v>
      </c>
      <c r="AS29" s="404" t="s">
        <v>712</v>
      </c>
      <c r="AT29" s="404"/>
      <c r="AU29" s="398"/>
      <c r="AV29" s="398" t="s">
        <v>713</v>
      </c>
    </row>
    <row r="30" spans="1:48" s="19" customFormat="1" ht="11.25" x14ac:dyDescent="0.2">
      <c r="A30" s="392"/>
      <c r="B30" s="393"/>
      <c r="C30" s="394"/>
      <c r="D30" s="395"/>
      <c r="E30" s="396"/>
      <c r="F30" s="396"/>
      <c r="G30" s="396"/>
      <c r="H30" s="396"/>
      <c r="I30" s="396"/>
      <c r="J30" s="396"/>
      <c r="K30" s="396"/>
      <c r="L30" s="397"/>
      <c r="M30" s="398"/>
      <c r="N30" s="393"/>
      <c r="O30" s="393"/>
      <c r="P30" s="402"/>
      <c r="Q30" s="398"/>
      <c r="R30" s="402"/>
      <c r="S30" s="398"/>
      <c r="T30" s="398"/>
      <c r="U30" s="403"/>
      <c r="V30" s="403"/>
      <c r="W30" s="398" t="s">
        <v>714</v>
      </c>
      <c r="X30" s="402">
        <v>60000</v>
      </c>
      <c r="Y30" s="398"/>
      <c r="Z30" s="393"/>
      <c r="AA30" s="402"/>
      <c r="AB30" s="402"/>
      <c r="AC30" s="398"/>
      <c r="AD30" s="402"/>
      <c r="AE30" s="402"/>
      <c r="AF30" s="403"/>
      <c r="AG30" s="398"/>
      <c r="AH30" s="404"/>
      <c r="AI30" s="404"/>
      <c r="AJ30" s="404"/>
      <c r="AK30" s="404"/>
      <c r="AL30" s="398"/>
      <c r="AM30" s="398"/>
      <c r="AN30" s="404"/>
      <c r="AO30" s="398"/>
      <c r="AP30" s="404"/>
      <c r="AQ30" s="404"/>
      <c r="AR30" s="404"/>
      <c r="AS30" s="404"/>
      <c r="AT30" s="404"/>
      <c r="AU30" s="398"/>
      <c r="AV30" s="398"/>
    </row>
    <row r="31" spans="1:48" s="19" customFormat="1" ht="33.75" x14ac:dyDescent="0.2">
      <c r="A31" s="392"/>
      <c r="B31" s="393"/>
      <c r="C31" s="394"/>
      <c r="D31" s="395"/>
      <c r="E31" s="396"/>
      <c r="F31" s="396"/>
      <c r="G31" s="396"/>
      <c r="H31" s="396"/>
      <c r="I31" s="396"/>
      <c r="J31" s="396"/>
      <c r="K31" s="396"/>
      <c r="L31" s="397"/>
      <c r="M31" s="398"/>
      <c r="N31" s="393"/>
      <c r="O31" s="393"/>
      <c r="P31" s="402"/>
      <c r="Q31" s="398"/>
      <c r="R31" s="402"/>
      <c r="S31" s="398"/>
      <c r="T31" s="398"/>
      <c r="U31" s="403"/>
      <c r="V31" s="403"/>
      <c r="W31" s="398" t="s">
        <v>715</v>
      </c>
      <c r="X31" s="402">
        <v>6532.6</v>
      </c>
      <c r="Y31" s="398" t="s">
        <v>715</v>
      </c>
      <c r="Z31" s="393"/>
      <c r="AA31" s="402"/>
      <c r="AB31" s="402"/>
      <c r="AC31" s="398"/>
      <c r="AD31" s="402"/>
      <c r="AE31" s="402"/>
      <c r="AF31" s="403"/>
      <c r="AG31" s="398"/>
      <c r="AH31" s="404"/>
      <c r="AI31" s="404"/>
      <c r="AJ31" s="404"/>
      <c r="AK31" s="404"/>
      <c r="AL31" s="398"/>
      <c r="AM31" s="398"/>
      <c r="AN31" s="404"/>
      <c r="AO31" s="398"/>
      <c r="AP31" s="404"/>
      <c r="AQ31" s="404"/>
      <c r="AR31" s="404"/>
      <c r="AS31" s="404"/>
      <c r="AT31" s="404"/>
      <c r="AU31" s="398"/>
      <c r="AV31" s="398"/>
    </row>
    <row r="32" spans="1:48" s="19" customFormat="1" ht="22.5" x14ac:dyDescent="0.2">
      <c r="A32" s="392"/>
      <c r="B32" s="393"/>
      <c r="C32" s="394"/>
      <c r="D32" s="395"/>
      <c r="E32" s="396"/>
      <c r="F32" s="396"/>
      <c r="G32" s="396"/>
      <c r="H32" s="396"/>
      <c r="I32" s="396"/>
      <c r="J32" s="396"/>
      <c r="K32" s="396"/>
      <c r="L32" s="397"/>
      <c r="M32" s="398"/>
      <c r="N32" s="393"/>
      <c r="O32" s="393"/>
      <c r="P32" s="402"/>
      <c r="Q32" s="398"/>
      <c r="R32" s="402"/>
      <c r="S32" s="398"/>
      <c r="T32" s="398"/>
      <c r="U32" s="403"/>
      <c r="V32" s="403"/>
      <c r="W32" s="398" t="s">
        <v>716</v>
      </c>
      <c r="X32" s="402">
        <v>60000</v>
      </c>
      <c r="Y32" s="398" t="s">
        <v>716</v>
      </c>
      <c r="Z32" s="393"/>
      <c r="AA32" s="402"/>
      <c r="AB32" s="402"/>
      <c r="AC32" s="398"/>
      <c r="AD32" s="402"/>
      <c r="AE32" s="402"/>
      <c r="AF32" s="403"/>
      <c r="AG32" s="398"/>
      <c r="AH32" s="404"/>
      <c r="AI32" s="404"/>
      <c r="AJ32" s="404"/>
      <c r="AK32" s="404"/>
      <c r="AL32" s="398"/>
      <c r="AM32" s="398"/>
      <c r="AN32" s="404"/>
      <c r="AO32" s="398"/>
      <c r="AP32" s="404"/>
      <c r="AQ32" s="404"/>
      <c r="AR32" s="404"/>
      <c r="AS32" s="404"/>
      <c r="AT32" s="404"/>
      <c r="AU32" s="398"/>
      <c r="AV32" s="398"/>
    </row>
    <row r="33" spans="1:48" s="19" customFormat="1" ht="45" x14ac:dyDescent="0.2">
      <c r="A33" s="392"/>
      <c r="B33" s="393"/>
      <c r="C33" s="394"/>
      <c r="D33" s="395"/>
      <c r="E33" s="396"/>
      <c r="F33" s="396"/>
      <c r="G33" s="396"/>
      <c r="H33" s="396"/>
      <c r="I33" s="396"/>
      <c r="J33" s="396"/>
      <c r="K33" s="396"/>
      <c r="L33" s="397"/>
      <c r="M33" s="398"/>
      <c r="N33" s="393"/>
      <c r="O33" s="393"/>
      <c r="P33" s="402"/>
      <c r="Q33" s="398"/>
      <c r="R33" s="402"/>
      <c r="S33" s="398"/>
      <c r="T33" s="398"/>
      <c r="U33" s="403"/>
      <c r="V33" s="403"/>
      <c r="W33" s="398" t="s">
        <v>717</v>
      </c>
      <c r="X33" s="402">
        <v>60000</v>
      </c>
      <c r="Y33" s="398" t="s">
        <v>717</v>
      </c>
      <c r="Z33" s="393"/>
      <c r="AA33" s="402"/>
      <c r="AB33" s="402"/>
      <c r="AC33" s="398"/>
      <c r="AD33" s="402"/>
      <c r="AE33" s="402"/>
      <c r="AF33" s="403"/>
      <c r="AG33" s="398"/>
      <c r="AH33" s="404"/>
      <c r="AI33" s="404"/>
      <c r="AJ33" s="404"/>
      <c r="AK33" s="404"/>
      <c r="AL33" s="398"/>
      <c r="AM33" s="398"/>
      <c r="AN33" s="404"/>
      <c r="AO33" s="398"/>
      <c r="AP33" s="404"/>
      <c r="AQ33" s="404"/>
      <c r="AR33" s="404"/>
      <c r="AS33" s="404"/>
      <c r="AT33" s="404"/>
      <c r="AU33" s="398"/>
      <c r="AV33" s="398"/>
    </row>
    <row r="34" spans="1:48" s="19" customFormat="1" ht="33.75" x14ac:dyDescent="0.2">
      <c r="A34" s="392">
        <v>3</v>
      </c>
      <c r="B34" s="311" t="s">
        <v>530</v>
      </c>
      <c r="C34" s="20" t="s">
        <v>62</v>
      </c>
      <c r="D34" s="21" t="s">
        <v>645</v>
      </c>
      <c r="E34" s="310"/>
      <c r="F34" s="310"/>
      <c r="G34" s="310">
        <f>G29</f>
        <v>0.25</v>
      </c>
      <c r="H34" s="310"/>
      <c r="I34" s="310">
        <f>I29</f>
        <v>0.02</v>
      </c>
      <c r="J34" s="310"/>
      <c r="K34" s="310">
        <f>K29</f>
        <v>0</v>
      </c>
      <c r="L34" s="331"/>
      <c r="M34" s="398" t="s">
        <v>705</v>
      </c>
      <c r="N34" s="393" t="s">
        <v>720</v>
      </c>
      <c r="O34" s="393" t="s">
        <v>530</v>
      </c>
      <c r="P34" s="402">
        <v>9000.57</v>
      </c>
      <c r="Q34" s="398" t="s">
        <v>721</v>
      </c>
      <c r="R34" s="402">
        <v>9000.57</v>
      </c>
      <c r="S34" s="398" t="s">
        <v>690</v>
      </c>
      <c r="T34" s="398" t="s">
        <v>722</v>
      </c>
      <c r="U34" s="403" t="s">
        <v>60</v>
      </c>
      <c r="V34" s="403" t="s">
        <v>60</v>
      </c>
      <c r="W34" s="398" t="s">
        <v>714</v>
      </c>
      <c r="X34" s="402">
        <v>7810.83</v>
      </c>
      <c r="Y34" s="398"/>
      <c r="Z34" s="393"/>
      <c r="AA34" s="402"/>
      <c r="AB34" s="402">
        <v>7810.83</v>
      </c>
      <c r="AC34" s="398" t="s">
        <v>714</v>
      </c>
      <c r="AD34" s="402">
        <f>'8. Общие сведения'!B54*1000</f>
        <v>263.26800000000003</v>
      </c>
      <c r="AE34" s="402">
        <v>7810.83</v>
      </c>
      <c r="AF34" s="403">
        <v>32009467273</v>
      </c>
      <c r="AG34" s="398" t="s">
        <v>723</v>
      </c>
      <c r="AH34" s="404">
        <v>44078</v>
      </c>
      <c r="AI34" s="404">
        <v>44078</v>
      </c>
      <c r="AJ34" s="404">
        <v>44088</v>
      </c>
      <c r="AK34" s="404">
        <v>44099</v>
      </c>
      <c r="AL34" s="398"/>
      <c r="AM34" s="398"/>
      <c r="AN34" s="404"/>
      <c r="AO34" s="398"/>
      <c r="AP34" s="404" t="s">
        <v>724</v>
      </c>
      <c r="AQ34" s="404" t="s">
        <v>724</v>
      </c>
      <c r="AR34" s="404" t="s">
        <v>724</v>
      </c>
      <c r="AS34" s="404" t="s">
        <v>724</v>
      </c>
      <c r="AT34" s="404" t="s">
        <v>725</v>
      </c>
      <c r="AU34" s="398"/>
      <c r="AV34" s="398"/>
    </row>
    <row r="35" spans="1:48" s="19" customFormat="1" ht="22.5" x14ac:dyDescent="0.2">
      <c r="A35" s="392"/>
      <c r="B35" s="393"/>
      <c r="C35" s="394"/>
      <c r="D35" s="395"/>
      <c r="E35" s="396"/>
      <c r="F35" s="396"/>
      <c r="G35" s="396"/>
      <c r="H35" s="396"/>
      <c r="I35" s="396"/>
      <c r="J35" s="396"/>
      <c r="K35" s="396"/>
      <c r="L35" s="397"/>
      <c r="M35" s="398"/>
      <c r="N35" s="393"/>
      <c r="O35" s="393"/>
      <c r="P35" s="402"/>
      <c r="Q35" s="398"/>
      <c r="R35" s="402"/>
      <c r="S35" s="398"/>
      <c r="T35" s="398"/>
      <c r="U35" s="403"/>
      <c r="V35" s="403"/>
      <c r="W35" s="398" t="s">
        <v>726</v>
      </c>
      <c r="X35" s="402">
        <v>9000.57</v>
      </c>
      <c r="Y35" s="398"/>
      <c r="Z35" s="393"/>
      <c r="AA35" s="402"/>
      <c r="AB35" s="402"/>
      <c r="AC35" s="398"/>
      <c r="AD35" s="402"/>
      <c r="AE35" s="402"/>
      <c r="AF35" s="403"/>
      <c r="AG35" s="398"/>
      <c r="AH35" s="404"/>
      <c r="AI35" s="404"/>
      <c r="AJ35" s="404"/>
      <c r="AK35" s="404"/>
      <c r="AL35" s="398"/>
      <c r="AM35" s="398"/>
      <c r="AN35" s="404"/>
      <c r="AO35" s="398"/>
      <c r="AP35" s="404"/>
      <c r="AQ35" s="404"/>
      <c r="AR35" s="404"/>
      <c r="AS35" s="404"/>
      <c r="AT35" s="404"/>
      <c r="AU35" s="398"/>
      <c r="AV35" s="398"/>
    </row>
    <row r="36" spans="1:48" s="19" customFormat="1" ht="22.5" x14ac:dyDescent="0.2">
      <c r="A36" s="392"/>
      <c r="B36" s="393"/>
      <c r="C36" s="394"/>
      <c r="D36" s="395"/>
      <c r="E36" s="396"/>
      <c r="F36" s="396"/>
      <c r="G36" s="396"/>
      <c r="H36" s="396"/>
      <c r="I36" s="396"/>
      <c r="J36" s="396"/>
      <c r="K36" s="396"/>
      <c r="L36" s="397"/>
      <c r="M36" s="398"/>
      <c r="N36" s="393"/>
      <c r="O36" s="393"/>
      <c r="P36" s="402"/>
      <c r="Q36" s="398"/>
      <c r="R36" s="402"/>
      <c r="S36" s="398"/>
      <c r="T36" s="398"/>
      <c r="U36" s="403"/>
      <c r="V36" s="403"/>
      <c r="W36" s="398" t="s">
        <v>727</v>
      </c>
      <c r="X36" s="402"/>
      <c r="Y36" s="398" t="s">
        <v>727</v>
      </c>
      <c r="Z36" s="393"/>
      <c r="AA36" s="402"/>
      <c r="AB36" s="402"/>
      <c r="AC36" s="398"/>
      <c r="AD36" s="402"/>
      <c r="AE36" s="402"/>
      <c r="AF36" s="403"/>
      <c r="AG36" s="398"/>
      <c r="AH36" s="404"/>
      <c r="AI36" s="404"/>
      <c r="AJ36" s="404"/>
      <c r="AK36" s="404"/>
      <c r="AL36" s="398"/>
      <c r="AM36" s="398"/>
      <c r="AN36" s="404"/>
      <c r="AO36" s="398"/>
      <c r="AP36" s="404"/>
      <c r="AQ36" s="404"/>
      <c r="AR36" s="404"/>
      <c r="AS36" s="404"/>
      <c r="AT36" s="404"/>
      <c r="AU36" s="398"/>
      <c r="AV36" s="398"/>
    </row>
    <row r="37" spans="1:48" s="19" customFormat="1" ht="11.25" x14ac:dyDescent="0.2">
      <c r="A37" s="392"/>
      <c r="B37" s="393"/>
      <c r="C37" s="394"/>
      <c r="D37" s="395"/>
      <c r="E37" s="396"/>
      <c r="F37" s="396"/>
      <c r="G37" s="396"/>
      <c r="H37" s="396"/>
      <c r="I37" s="396"/>
      <c r="J37" s="396"/>
      <c r="K37" s="396"/>
      <c r="L37" s="397"/>
      <c r="M37" s="398"/>
      <c r="N37" s="393"/>
      <c r="O37" s="393"/>
      <c r="P37" s="402"/>
      <c r="Q37" s="398"/>
      <c r="R37" s="402"/>
      <c r="S37" s="398"/>
      <c r="T37" s="398"/>
      <c r="U37" s="403"/>
      <c r="V37" s="403"/>
      <c r="W37" s="398"/>
      <c r="X37" s="402"/>
      <c r="Y37" s="398"/>
      <c r="Z37" s="393"/>
      <c r="AA37" s="402"/>
      <c r="AB37" s="402"/>
      <c r="AC37" s="398"/>
      <c r="AD37" s="402"/>
      <c r="AE37" s="402"/>
      <c r="AF37" s="403"/>
      <c r="AG37" s="398"/>
      <c r="AH37" s="404"/>
      <c r="AI37" s="404"/>
      <c r="AJ37" s="404"/>
      <c r="AK37" s="404"/>
      <c r="AL37" s="398"/>
      <c r="AM37" s="398"/>
      <c r="AN37" s="404"/>
      <c r="AO37" s="398"/>
      <c r="AP37" s="404"/>
      <c r="AQ37" s="404"/>
      <c r="AR37" s="404"/>
      <c r="AS37" s="404"/>
      <c r="AT37" s="404"/>
      <c r="AU37" s="398"/>
      <c r="AV37" s="398"/>
    </row>
    <row r="38" spans="1:48" s="19" customFormat="1" ht="11.25" x14ac:dyDescent="0.2">
      <c r="A38" s="392"/>
      <c r="B38" s="393"/>
      <c r="C38" s="394"/>
      <c r="D38" s="395"/>
      <c r="E38" s="396"/>
      <c r="F38" s="396"/>
      <c r="G38" s="396"/>
      <c r="H38" s="396"/>
      <c r="I38" s="396"/>
      <c r="J38" s="396"/>
      <c r="K38" s="396"/>
      <c r="L38" s="397"/>
      <c r="M38" s="398"/>
      <c r="N38" s="393"/>
      <c r="O38" s="393"/>
      <c r="P38" s="402"/>
      <c r="Q38" s="398"/>
      <c r="R38" s="402"/>
      <c r="S38" s="398"/>
      <c r="T38" s="398"/>
      <c r="U38" s="403"/>
      <c r="V38" s="403"/>
      <c r="W38" s="398"/>
      <c r="X38" s="402"/>
      <c r="Y38" s="398"/>
      <c r="Z38" s="393"/>
      <c r="AA38" s="402"/>
      <c r="AB38" s="402"/>
      <c r="AC38" s="398"/>
      <c r="AD38" s="402"/>
      <c r="AE38" s="402"/>
      <c r="AF38" s="403"/>
      <c r="AG38" s="398"/>
      <c r="AH38" s="404"/>
      <c r="AI38" s="404"/>
      <c r="AJ38" s="404"/>
      <c r="AK38" s="404"/>
      <c r="AL38" s="398"/>
      <c r="AM38" s="398"/>
      <c r="AN38" s="404"/>
      <c r="AO38" s="398"/>
      <c r="AP38" s="404"/>
      <c r="AQ38" s="404"/>
      <c r="AR38" s="404"/>
      <c r="AS38" s="404"/>
      <c r="AT38" s="404"/>
      <c r="AU38" s="398"/>
      <c r="AV38" s="398"/>
    </row>
    <row r="39" spans="1:48" s="19" customFormat="1" ht="11.25" x14ac:dyDescent="0.2">
      <c r="A39" s="392"/>
      <c r="B39" s="393"/>
      <c r="C39" s="394"/>
      <c r="D39" s="395"/>
      <c r="E39" s="396"/>
      <c r="F39" s="396"/>
      <c r="G39" s="396"/>
      <c r="H39" s="396"/>
      <c r="I39" s="396"/>
      <c r="J39" s="396"/>
      <c r="K39" s="396"/>
      <c r="L39" s="397"/>
      <c r="M39" s="398"/>
      <c r="N39" s="393"/>
      <c r="O39" s="393"/>
      <c r="P39" s="402"/>
      <c r="Q39" s="398"/>
      <c r="R39" s="402"/>
      <c r="S39" s="398"/>
      <c r="T39" s="398"/>
      <c r="U39" s="403"/>
      <c r="V39" s="403"/>
      <c r="W39" s="398"/>
      <c r="X39" s="402"/>
      <c r="Y39" s="398"/>
      <c r="Z39" s="393"/>
      <c r="AA39" s="402"/>
      <c r="AB39" s="402"/>
      <c r="AC39" s="398"/>
      <c r="AD39" s="402"/>
      <c r="AE39" s="402"/>
      <c r="AF39" s="403"/>
      <c r="AG39" s="398"/>
      <c r="AH39" s="404"/>
      <c r="AI39" s="404"/>
      <c r="AJ39" s="404"/>
      <c r="AK39" s="404"/>
      <c r="AL39" s="398"/>
      <c r="AM39" s="398"/>
      <c r="AN39" s="404"/>
      <c r="AO39" s="398"/>
      <c r="AP39" s="404"/>
      <c r="AQ39" s="404"/>
      <c r="AR39" s="404"/>
      <c r="AS39" s="404"/>
      <c r="AT39" s="404"/>
      <c r="AU39" s="398"/>
      <c r="AV39" s="398"/>
    </row>
    <row r="40" spans="1:48" s="19" customFormat="1" ht="11.25" x14ac:dyDescent="0.2">
      <c r="A40" s="22"/>
      <c r="B40" s="311"/>
      <c r="C40" s="20"/>
      <c r="D40" s="21"/>
      <c r="E40" s="310"/>
      <c r="F40" s="310"/>
      <c r="G40" s="310"/>
      <c r="H40" s="310"/>
      <c r="I40" s="310"/>
      <c r="J40" s="310"/>
      <c r="K40" s="310"/>
      <c r="L40" s="331"/>
      <c r="M40" s="332"/>
      <c r="N40" s="332"/>
      <c r="O40" s="311"/>
      <c r="P40" s="23"/>
      <c r="Q40" s="20"/>
      <c r="R40" s="20"/>
      <c r="S40" s="20"/>
      <c r="T40" s="20"/>
      <c r="U40" s="22"/>
      <c r="V40" s="22"/>
      <c r="W40" s="332"/>
      <c r="X40" s="23"/>
      <c r="Y40" s="20"/>
      <c r="Z40" s="21"/>
      <c r="AA40" s="23"/>
      <c r="AB40" s="23"/>
      <c r="AC40" s="23"/>
      <c r="AD40" s="23"/>
      <c r="AE40" s="23"/>
      <c r="AF40" s="22"/>
      <c r="AG40" s="20"/>
      <c r="AH40" s="21"/>
      <c r="AI40" s="21"/>
      <c r="AJ40" s="21"/>
      <c r="AK40" s="21"/>
      <c r="AL40" s="20"/>
      <c r="AM40" s="20"/>
      <c r="AN40" s="21"/>
      <c r="AO40" s="20"/>
      <c r="AP40" s="21"/>
      <c r="AQ40" s="21"/>
      <c r="AR40" s="21"/>
      <c r="AS40" s="21"/>
      <c r="AT40" s="21"/>
      <c r="AU40" s="20"/>
      <c r="AV40" s="20"/>
    </row>
    <row r="41" spans="1:48" x14ac:dyDescent="0.25">
      <c r="AD41" s="401">
        <f>SUM(AD26:AD40)</f>
        <v>700.28660000000002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13" zoomScale="90" zoomScaleNormal="90" zoomScaleSheetLayoutView="90" workbookViewId="0">
      <selection activeCell="B104" sqref="B104"/>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8" t="str">
        <f>'1. паспорт местоположение'!A5:C5</f>
        <v>Год раскрытия информации: 2022 год</v>
      </c>
      <c r="B5" s="538"/>
      <c r="C5" s="84"/>
      <c r="D5" s="84"/>
      <c r="E5" s="84"/>
      <c r="F5" s="84"/>
      <c r="G5" s="84"/>
      <c r="H5" s="84"/>
    </row>
    <row r="6" spans="1:8" ht="18.75" x14ac:dyDescent="0.3">
      <c r="A6" s="263"/>
      <c r="B6" s="263"/>
      <c r="C6" s="263"/>
      <c r="D6" s="263"/>
      <c r="E6" s="263"/>
      <c r="F6" s="263"/>
      <c r="G6" s="263"/>
      <c r="H6" s="263"/>
    </row>
    <row r="7" spans="1:8" ht="18.75" x14ac:dyDescent="0.25">
      <c r="A7" s="429" t="s">
        <v>7</v>
      </c>
      <c r="B7" s="429"/>
      <c r="C7" s="153"/>
      <c r="D7" s="153"/>
      <c r="E7" s="153"/>
      <c r="F7" s="153"/>
      <c r="G7" s="153"/>
      <c r="H7" s="153"/>
    </row>
    <row r="8" spans="1:8" ht="18.75" x14ac:dyDescent="0.25">
      <c r="A8" s="153"/>
      <c r="B8" s="153"/>
      <c r="C8" s="153"/>
      <c r="D8" s="153"/>
      <c r="E8" s="153"/>
      <c r="F8" s="153"/>
      <c r="G8" s="153"/>
      <c r="H8" s="153"/>
    </row>
    <row r="9" spans="1:8" x14ac:dyDescent="0.25">
      <c r="A9" s="423" t="str">
        <f>'1. паспорт местоположение'!A9:C9</f>
        <v>Акционерное общество "Янтарьэнерго" ДЗО  ПАО "Россети"</v>
      </c>
      <c r="B9" s="423"/>
      <c r="C9" s="169"/>
      <c r="D9" s="169"/>
      <c r="E9" s="169"/>
      <c r="F9" s="169"/>
      <c r="G9" s="169"/>
      <c r="H9" s="169"/>
    </row>
    <row r="10" spans="1:8" x14ac:dyDescent="0.25">
      <c r="A10" s="425" t="s">
        <v>6</v>
      </c>
      <c r="B10" s="425"/>
      <c r="C10" s="155"/>
      <c r="D10" s="155"/>
      <c r="E10" s="155"/>
      <c r="F10" s="155"/>
      <c r="G10" s="155"/>
      <c r="H10" s="155"/>
    </row>
    <row r="11" spans="1:8" ht="18.75" x14ac:dyDescent="0.25">
      <c r="A11" s="153"/>
      <c r="B11" s="153"/>
      <c r="C11" s="153"/>
      <c r="D11" s="153"/>
      <c r="E11" s="153"/>
      <c r="F11" s="153"/>
      <c r="G11" s="153"/>
      <c r="H11" s="153"/>
    </row>
    <row r="12" spans="1:8" x14ac:dyDescent="0.25">
      <c r="A12" s="423" t="str">
        <f>'1. паспорт местоположение'!A12:C12</f>
        <v>I_17-1850</v>
      </c>
      <c r="B12" s="423"/>
      <c r="C12" s="169"/>
      <c r="D12" s="169"/>
      <c r="E12" s="169"/>
      <c r="F12" s="169"/>
      <c r="G12" s="169"/>
      <c r="H12" s="169"/>
    </row>
    <row r="13" spans="1:8" x14ac:dyDescent="0.25">
      <c r="A13" s="425" t="s">
        <v>5</v>
      </c>
      <c r="B13" s="425"/>
      <c r="C13" s="155"/>
      <c r="D13" s="155"/>
      <c r="E13" s="155"/>
      <c r="F13" s="155"/>
      <c r="G13" s="155"/>
      <c r="H13" s="155"/>
    </row>
    <row r="14" spans="1:8" ht="18.75" x14ac:dyDescent="0.25">
      <c r="A14" s="10"/>
      <c r="B14" s="10"/>
      <c r="C14" s="10"/>
      <c r="D14" s="10"/>
      <c r="E14" s="10"/>
      <c r="F14" s="10"/>
      <c r="G14" s="10"/>
      <c r="H14" s="10"/>
    </row>
    <row r="15" spans="1:8" x14ac:dyDescent="0.25">
      <c r="A15" s="539" t="str">
        <f>'1. паспорт местоположение'!A15:C15</f>
        <v>Строительство ТП 15/0,4 кВ, ЛЭП 15 кВ от ВЛ 15-06 (инв.5115422) п. Яблоневка Гурьевский ГО</v>
      </c>
      <c r="B15" s="423"/>
      <c r="C15" s="169"/>
      <c r="D15" s="169"/>
      <c r="E15" s="169"/>
      <c r="F15" s="169"/>
      <c r="G15" s="169"/>
      <c r="H15" s="169"/>
    </row>
    <row r="16" spans="1:8" x14ac:dyDescent="0.25">
      <c r="A16" s="425" t="s">
        <v>4</v>
      </c>
      <c r="B16" s="425"/>
      <c r="C16" s="155"/>
      <c r="D16" s="155"/>
      <c r="E16" s="155"/>
      <c r="F16" s="155"/>
      <c r="G16" s="155"/>
      <c r="H16" s="155"/>
    </row>
    <row r="17" spans="1:2" x14ac:dyDescent="0.25">
      <c r="B17" s="122"/>
    </row>
    <row r="18" spans="1:2" x14ac:dyDescent="0.25">
      <c r="A18" s="540" t="s">
        <v>510</v>
      </c>
      <c r="B18" s="541"/>
    </row>
    <row r="19" spans="1:2" x14ac:dyDescent="0.25">
      <c r="B19" s="42"/>
    </row>
    <row r="20" spans="1:2" ht="16.5" thickBot="1" x14ac:dyDescent="0.3">
      <c r="B20" s="123"/>
    </row>
    <row r="21" spans="1:2" ht="30.75" thickBot="1" x14ac:dyDescent="0.3">
      <c r="A21" s="124" t="s">
        <v>380</v>
      </c>
      <c r="B21" s="261" t="str">
        <f>A15</f>
        <v>Строительство ТП 15/0,4 кВ, ЛЭП 15 кВ от ВЛ 15-06 (инв.5115422) п. Яблоневка Гурьевский ГО</v>
      </c>
    </row>
    <row r="22" spans="1:2" ht="16.5" thickBot="1" x14ac:dyDescent="0.3">
      <c r="A22" s="124" t="s">
        <v>381</v>
      </c>
      <c r="B22" s="125" t="str">
        <f>'1. паспорт местоположение'!C27</f>
        <v>Гурьевский городской округ</v>
      </c>
    </row>
    <row r="23" spans="1:2" ht="16.5" thickBot="1" x14ac:dyDescent="0.3">
      <c r="A23" s="124" t="s">
        <v>346</v>
      </c>
      <c r="B23" s="126" t="s">
        <v>656</v>
      </c>
    </row>
    <row r="24" spans="1:2" ht="16.5" thickBot="1" x14ac:dyDescent="0.3">
      <c r="A24" s="124" t="s">
        <v>382</v>
      </c>
      <c r="B24" s="126" t="s">
        <v>693</v>
      </c>
    </row>
    <row r="25" spans="1:2" ht="16.5" thickBot="1" x14ac:dyDescent="0.3">
      <c r="A25" s="127" t="s">
        <v>383</v>
      </c>
      <c r="B25" s="125" t="s">
        <v>645</v>
      </c>
    </row>
    <row r="26" spans="1:2" ht="16.5" thickBot="1" x14ac:dyDescent="0.3">
      <c r="A26" s="128" t="s">
        <v>384</v>
      </c>
      <c r="B26" s="126" t="s">
        <v>675</v>
      </c>
    </row>
    <row r="27" spans="1:2" ht="29.25" thickBot="1" x14ac:dyDescent="0.3">
      <c r="A27" s="135" t="s">
        <v>697</v>
      </c>
      <c r="B27" s="262">
        <f>'5. анализ эконом эфф'!B122</f>
        <v>1.9837199999999999</v>
      </c>
    </row>
    <row r="28" spans="1:2" ht="16.5" thickBot="1" x14ac:dyDescent="0.3">
      <c r="A28" s="130" t="s">
        <v>385</v>
      </c>
      <c r="B28" s="339" t="s">
        <v>741</v>
      </c>
    </row>
    <row r="29" spans="1:2" ht="29.25" thickBot="1" x14ac:dyDescent="0.3">
      <c r="A29" s="136" t="s">
        <v>386</v>
      </c>
      <c r="B29" s="335">
        <f>'7. Паспорт отчет о закупке'!AD41/1000</f>
        <v>0.70028659999999998</v>
      </c>
    </row>
    <row r="30" spans="1:2" ht="29.25" thickBot="1" x14ac:dyDescent="0.3">
      <c r="A30" s="136" t="s">
        <v>387</v>
      </c>
      <c r="B30" s="335">
        <f>B32+B49+B66</f>
        <v>0.70028659999999987</v>
      </c>
    </row>
    <row r="31" spans="1:2" ht="16.5" thickBot="1" x14ac:dyDescent="0.3">
      <c r="A31" s="130" t="s">
        <v>388</v>
      </c>
      <c r="B31" s="335"/>
    </row>
    <row r="32" spans="1:2" ht="29.25" thickBot="1" x14ac:dyDescent="0.3">
      <c r="A32" s="136" t="s">
        <v>389</v>
      </c>
      <c r="B32" s="335">
        <f>B33+B45</f>
        <v>6.5000000000000002E-2</v>
      </c>
    </row>
    <row r="33" spans="1:3" s="267" customFormat="1" ht="30.75" thickBot="1" x14ac:dyDescent="0.3">
      <c r="A33" s="405" t="s">
        <v>694</v>
      </c>
      <c r="B33" s="406">
        <v>6.5000000000000002E-2</v>
      </c>
    </row>
    <row r="34" spans="1:3" ht="16.5" thickBot="1" x14ac:dyDescent="0.3">
      <c r="A34" s="130" t="s">
        <v>391</v>
      </c>
      <c r="B34" s="268">
        <f>B33/$B$27</f>
        <v>3.276672110983405E-2</v>
      </c>
    </row>
    <row r="35" spans="1:3" ht="16.5" thickBot="1" x14ac:dyDescent="0.3">
      <c r="A35" s="130" t="s">
        <v>392</v>
      </c>
      <c r="B35" s="335">
        <v>0</v>
      </c>
      <c r="C35" s="121">
        <v>1</v>
      </c>
    </row>
    <row r="36" spans="1:3" ht="16.5" thickBot="1" x14ac:dyDescent="0.3">
      <c r="A36" s="130" t="s">
        <v>393</v>
      </c>
      <c r="B36" s="335">
        <v>6.5000000000000002E-2</v>
      </c>
      <c r="C36" s="121">
        <v>2</v>
      </c>
    </row>
    <row r="37" spans="1:3" s="267" customFormat="1" ht="16.5" thickBot="1" x14ac:dyDescent="0.3">
      <c r="A37" s="278" t="s">
        <v>390</v>
      </c>
      <c r="B37" s="336">
        <v>0</v>
      </c>
    </row>
    <row r="38" spans="1:3" ht="16.5" thickBot="1" x14ac:dyDescent="0.3">
      <c r="A38" s="130" t="s">
        <v>391</v>
      </c>
      <c r="B38" s="268">
        <f>B37/$B$27</f>
        <v>0</v>
      </c>
    </row>
    <row r="39" spans="1:3" ht="16.5" thickBot="1" x14ac:dyDescent="0.3">
      <c r="A39" s="130" t="s">
        <v>392</v>
      </c>
      <c r="B39" s="335">
        <v>0</v>
      </c>
      <c r="C39" s="121">
        <v>1</v>
      </c>
    </row>
    <row r="40" spans="1:3" ht="16.5" thickBot="1" x14ac:dyDescent="0.3">
      <c r="A40" s="130" t="s">
        <v>393</v>
      </c>
      <c r="B40" s="335">
        <v>0</v>
      </c>
      <c r="C40" s="121">
        <v>2</v>
      </c>
    </row>
    <row r="41" spans="1:3" s="267" customFormat="1" ht="16.5" thickBot="1" x14ac:dyDescent="0.3">
      <c r="A41" s="278" t="s">
        <v>390</v>
      </c>
      <c r="B41" s="336">
        <v>0</v>
      </c>
    </row>
    <row r="42" spans="1:3" ht="16.5" thickBot="1" x14ac:dyDescent="0.3">
      <c r="A42" s="130" t="s">
        <v>391</v>
      </c>
      <c r="B42" s="268">
        <f>B41/$B$27</f>
        <v>0</v>
      </c>
    </row>
    <row r="43" spans="1:3" ht="16.5" thickBot="1" x14ac:dyDescent="0.3">
      <c r="A43" s="130" t="s">
        <v>392</v>
      </c>
      <c r="B43" s="335">
        <v>0</v>
      </c>
      <c r="C43" s="121">
        <v>1</v>
      </c>
    </row>
    <row r="44" spans="1:3" ht="16.5" thickBot="1" x14ac:dyDescent="0.3">
      <c r="A44" s="130" t="s">
        <v>393</v>
      </c>
      <c r="B44" s="335">
        <v>0</v>
      </c>
      <c r="C44" s="121">
        <v>2</v>
      </c>
    </row>
    <row r="45" spans="1:3" s="267" customFormat="1" ht="16.5" thickBot="1" x14ac:dyDescent="0.3">
      <c r="A45" s="278" t="s">
        <v>390</v>
      </c>
      <c r="B45" s="336">
        <v>0</v>
      </c>
    </row>
    <row r="46" spans="1:3" ht="16.5" thickBot="1" x14ac:dyDescent="0.3">
      <c r="A46" s="130" t="s">
        <v>391</v>
      </c>
      <c r="B46" s="268">
        <f>B45/$B$27</f>
        <v>0</v>
      </c>
    </row>
    <row r="47" spans="1:3" ht="16.5" thickBot="1" x14ac:dyDescent="0.3">
      <c r="A47" s="130" t="s">
        <v>392</v>
      </c>
      <c r="B47" s="335">
        <v>0</v>
      </c>
      <c r="C47" s="121">
        <v>1</v>
      </c>
    </row>
    <row r="48" spans="1:3" ht="16.5" thickBot="1" x14ac:dyDescent="0.3">
      <c r="A48" s="130" t="s">
        <v>393</v>
      </c>
      <c r="B48" s="335">
        <v>0</v>
      </c>
      <c r="C48" s="121">
        <v>2</v>
      </c>
    </row>
    <row r="49" spans="1:3" ht="29.25" thickBot="1" x14ac:dyDescent="0.3">
      <c r="A49" s="136" t="s">
        <v>394</v>
      </c>
      <c r="B49" s="335">
        <f>B50+B54+B58+B62</f>
        <v>0.63528659999999992</v>
      </c>
    </row>
    <row r="50" spans="1:3" s="267" customFormat="1" ht="30.75" thickBot="1" x14ac:dyDescent="0.3">
      <c r="A50" s="405" t="s">
        <v>696</v>
      </c>
      <c r="B50" s="406">
        <f>0.31527*1.18</f>
        <v>0.37201859999999998</v>
      </c>
    </row>
    <row r="51" spans="1:3" ht="16.5" thickBot="1" x14ac:dyDescent="0.3">
      <c r="A51" s="130" t="s">
        <v>391</v>
      </c>
      <c r="B51" s="268">
        <f>B50/$B$27</f>
        <v>0.18753584175186014</v>
      </c>
    </row>
    <row r="52" spans="1:3" ht="16.5" thickBot="1" x14ac:dyDescent="0.3">
      <c r="A52" s="130" t="s">
        <v>392</v>
      </c>
      <c r="B52" s="335">
        <v>0.37201859999999998</v>
      </c>
      <c r="C52" s="121">
        <v>1</v>
      </c>
    </row>
    <row r="53" spans="1:3" ht="16.5" thickBot="1" x14ac:dyDescent="0.3">
      <c r="A53" s="130" t="s">
        <v>393</v>
      </c>
      <c r="B53" s="335">
        <v>0.37201859999999998</v>
      </c>
      <c r="C53" s="121">
        <v>2</v>
      </c>
    </row>
    <row r="54" spans="1:3" s="267" customFormat="1" ht="30.75" thickBot="1" x14ac:dyDescent="0.3">
      <c r="A54" s="405" t="s">
        <v>718</v>
      </c>
      <c r="B54" s="406">
        <f>0.21939*1.2</f>
        <v>0.263268</v>
      </c>
    </row>
    <row r="55" spans="1:3" ht="16.5" thickBot="1" x14ac:dyDescent="0.3">
      <c r="A55" s="130" t="s">
        <v>391</v>
      </c>
      <c r="B55" s="268">
        <f>B54/$B$27</f>
        <v>0.13271429435605833</v>
      </c>
    </row>
    <row r="56" spans="1:3" ht="16.5" thickBot="1" x14ac:dyDescent="0.3">
      <c r="A56" s="130" t="s">
        <v>392</v>
      </c>
      <c r="B56" s="335">
        <v>0.263268</v>
      </c>
      <c r="C56" s="121">
        <v>1</v>
      </c>
    </row>
    <row r="57" spans="1:3" ht="16.5" thickBot="1" x14ac:dyDescent="0.3">
      <c r="A57" s="130" t="s">
        <v>393</v>
      </c>
      <c r="B57" s="335">
        <v>0.263268</v>
      </c>
      <c r="C57" s="121">
        <v>2</v>
      </c>
    </row>
    <row r="58" spans="1:3" s="267" customFormat="1" ht="16.5" thickBot="1" x14ac:dyDescent="0.3">
      <c r="A58" s="278" t="s">
        <v>390</v>
      </c>
      <c r="B58" s="336">
        <v>0</v>
      </c>
    </row>
    <row r="59" spans="1:3" ht="16.5" thickBot="1" x14ac:dyDescent="0.3">
      <c r="A59" s="130" t="s">
        <v>391</v>
      </c>
      <c r="B59" s="268">
        <f>B58/$B$27</f>
        <v>0</v>
      </c>
    </row>
    <row r="60" spans="1:3" ht="16.5" thickBot="1" x14ac:dyDescent="0.3">
      <c r="A60" s="130" t="s">
        <v>392</v>
      </c>
      <c r="B60" s="335">
        <v>0</v>
      </c>
      <c r="C60" s="121">
        <v>1</v>
      </c>
    </row>
    <row r="61" spans="1:3" ht="16.5" thickBot="1" x14ac:dyDescent="0.3">
      <c r="A61" s="130" t="s">
        <v>393</v>
      </c>
      <c r="B61" s="335">
        <v>0</v>
      </c>
      <c r="C61" s="121">
        <v>2</v>
      </c>
    </row>
    <row r="62" spans="1:3" s="267" customFormat="1" ht="16.5" thickBot="1" x14ac:dyDescent="0.3">
      <c r="A62" s="278" t="s">
        <v>390</v>
      </c>
      <c r="B62" s="336">
        <v>0</v>
      </c>
    </row>
    <row r="63" spans="1:3" ht="16.5" thickBot="1" x14ac:dyDescent="0.3">
      <c r="A63" s="130" t="s">
        <v>391</v>
      </c>
      <c r="B63" s="268">
        <f>B62/$B$27</f>
        <v>0</v>
      </c>
    </row>
    <row r="64" spans="1:3" ht="16.5" thickBot="1" x14ac:dyDescent="0.3">
      <c r="A64" s="130" t="s">
        <v>392</v>
      </c>
      <c r="B64" s="335">
        <v>0</v>
      </c>
      <c r="C64" s="121">
        <v>1</v>
      </c>
    </row>
    <row r="65" spans="1:3" ht="16.5" thickBot="1" x14ac:dyDescent="0.3">
      <c r="A65" s="130" t="s">
        <v>393</v>
      </c>
      <c r="B65" s="335">
        <v>0</v>
      </c>
      <c r="C65" s="121">
        <v>2</v>
      </c>
    </row>
    <row r="66" spans="1:3" ht="29.25" thickBot="1" x14ac:dyDescent="0.3">
      <c r="A66" s="136" t="s">
        <v>395</v>
      </c>
      <c r="B66" s="335">
        <f>B67+B71+B75+B79</f>
        <v>0</v>
      </c>
    </row>
    <row r="67" spans="1:3" s="267" customFormat="1" ht="16.5" thickBot="1" x14ac:dyDescent="0.3">
      <c r="A67" s="278" t="s">
        <v>390</v>
      </c>
      <c r="B67" s="336">
        <v>0</v>
      </c>
    </row>
    <row r="68" spans="1:3" ht="16.5" thickBot="1" x14ac:dyDescent="0.3">
      <c r="A68" s="130" t="s">
        <v>391</v>
      </c>
      <c r="B68" s="268">
        <f>B67/$B$27</f>
        <v>0</v>
      </c>
    </row>
    <row r="69" spans="1:3" ht="16.5" thickBot="1" x14ac:dyDescent="0.3">
      <c r="A69" s="130" t="s">
        <v>392</v>
      </c>
      <c r="B69" s="335">
        <v>0</v>
      </c>
      <c r="C69" s="121">
        <v>1</v>
      </c>
    </row>
    <row r="70" spans="1:3" ht="16.5" thickBot="1" x14ac:dyDescent="0.3">
      <c r="A70" s="130" t="s">
        <v>393</v>
      </c>
      <c r="B70" s="335">
        <v>0</v>
      </c>
      <c r="C70" s="121">
        <v>2</v>
      </c>
    </row>
    <row r="71" spans="1:3" s="267" customFormat="1" ht="16.5" thickBot="1" x14ac:dyDescent="0.3">
      <c r="A71" s="278" t="s">
        <v>390</v>
      </c>
      <c r="B71" s="336">
        <v>0</v>
      </c>
    </row>
    <row r="72" spans="1:3" ht="16.5" thickBot="1" x14ac:dyDescent="0.3">
      <c r="A72" s="130" t="s">
        <v>391</v>
      </c>
      <c r="B72" s="268">
        <f>B71/$B$27</f>
        <v>0</v>
      </c>
    </row>
    <row r="73" spans="1:3" ht="16.5" thickBot="1" x14ac:dyDescent="0.3">
      <c r="A73" s="130" t="s">
        <v>392</v>
      </c>
      <c r="B73" s="335">
        <v>0</v>
      </c>
      <c r="C73" s="121">
        <v>1</v>
      </c>
    </row>
    <row r="74" spans="1:3" ht="16.5" thickBot="1" x14ac:dyDescent="0.3">
      <c r="A74" s="130" t="s">
        <v>393</v>
      </c>
      <c r="B74" s="335">
        <v>0</v>
      </c>
      <c r="C74" s="121">
        <v>2</v>
      </c>
    </row>
    <row r="75" spans="1:3" s="267" customFormat="1" ht="16.5" thickBot="1" x14ac:dyDescent="0.3">
      <c r="A75" s="278" t="s">
        <v>390</v>
      </c>
      <c r="B75" s="336">
        <v>0</v>
      </c>
    </row>
    <row r="76" spans="1:3" ht="16.5" thickBot="1" x14ac:dyDescent="0.3">
      <c r="A76" s="130" t="s">
        <v>391</v>
      </c>
      <c r="B76" s="268">
        <f>B75/$B$27</f>
        <v>0</v>
      </c>
    </row>
    <row r="77" spans="1:3" ht="16.5" thickBot="1" x14ac:dyDescent="0.3">
      <c r="A77" s="130" t="s">
        <v>392</v>
      </c>
      <c r="B77" s="335">
        <v>0</v>
      </c>
      <c r="C77" s="121">
        <v>1</v>
      </c>
    </row>
    <row r="78" spans="1:3" ht="16.5" thickBot="1" x14ac:dyDescent="0.3">
      <c r="A78" s="130" t="s">
        <v>393</v>
      </c>
      <c r="B78" s="335">
        <v>0</v>
      </c>
      <c r="C78" s="121">
        <v>2</v>
      </c>
    </row>
    <row r="79" spans="1:3" s="267" customFormat="1" ht="16.5" thickBot="1" x14ac:dyDescent="0.3">
      <c r="A79" s="278" t="s">
        <v>390</v>
      </c>
      <c r="B79" s="336">
        <v>0</v>
      </c>
    </row>
    <row r="80" spans="1:3" ht="16.5" thickBot="1" x14ac:dyDescent="0.3">
      <c r="A80" s="130" t="s">
        <v>391</v>
      </c>
      <c r="B80" s="268">
        <f>B79/$B$27</f>
        <v>0</v>
      </c>
    </row>
    <row r="81" spans="1:3" ht="16.5" thickBot="1" x14ac:dyDescent="0.3">
      <c r="A81" s="130" t="s">
        <v>392</v>
      </c>
      <c r="B81" s="335">
        <v>0</v>
      </c>
      <c r="C81" s="121">
        <v>1</v>
      </c>
    </row>
    <row r="82" spans="1:3" ht="16.5" thickBot="1" x14ac:dyDescent="0.3">
      <c r="A82" s="130" t="s">
        <v>393</v>
      </c>
      <c r="B82" s="335">
        <v>0</v>
      </c>
      <c r="C82" s="121">
        <v>2</v>
      </c>
    </row>
    <row r="83" spans="1:3" ht="29.25" thickBot="1" x14ac:dyDescent="0.3">
      <c r="A83" s="129" t="s">
        <v>396</v>
      </c>
      <c r="B83" s="269">
        <f>B30/B27</f>
        <v>0.35301685721775244</v>
      </c>
    </row>
    <row r="84" spans="1:3" ht="16.5" thickBot="1" x14ac:dyDescent="0.3">
      <c r="A84" s="131" t="s">
        <v>388</v>
      </c>
      <c r="B84" s="269"/>
    </row>
    <row r="85" spans="1:3" ht="16.5" thickBot="1" x14ac:dyDescent="0.3">
      <c r="A85" s="131" t="s">
        <v>397</v>
      </c>
      <c r="B85" s="269"/>
    </row>
    <row r="86" spans="1:3" ht="16.5" thickBot="1" x14ac:dyDescent="0.3">
      <c r="A86" s="131" t="s">
        <v>398</v>
      </c>
      <c r="B86" s="269">
        <f>B50/B27</f>
        <v>0.18753584175186014</v>
      </c>
    </row>
    <row r="87" spans="1:3" ht="16.5" thickBot="1" x14ac:dyDescent="0.3">
      <c r="A87" s="131" t="s">
        <v>399</v>
      </c>
      <c r="B87" s="269">
        <f>B33/B27</f>
        <v>3.276672110983405E-2</v>
      </c>
    </row>
    <row r="88" spans="1:3" ht="16.5" thickBot="1" x14ac:dyDescent="0.3">
      <c r="A88" s="127" t="s">
        <v>400</v>
      </c>
      <c r="B88" s="269">
        <f>B89/$B$27</f>
        <v>0.32025013610791842</v>
      </c>
    </row>
    <row r="89" spans="1:3" ht="16.5" thickBot="1" x14ac:dyDescent="0.3">
      <c r="A89" s="127" t="s">
        <v>401</v>
      </c>
      <c r="B89" s="337">
        <f xml:space="preserve"> SUMIF(C33:C82, 1,B33:B82)</f>
        <v>0.63528659999999992</v>
      </c>
    </row>
    <row r="90" spans="1:3" ht="16.5" thickBot="1" x14ac:dyDescent="0.3">
      <c r="A90" s="127" t="s">
        <v>402</v>
      </c>
      <c r="B90" s="269">
        <f>B91/$B$27</f>
        <v>0.3530168572177525</v>
      </c>
    </row>
    <row r="91" spans="1:3" ht="16.5" thickBot="1" x14ac:dyDescent="0.3">
      <c r="A91" s="128" t="s">
        <v>403</v>
      </c>
      <c r="B91" s="337">
        <f xml:space="preserve"> SUMIF(C35:C84, 2,B35:B84)</f>
        <v>0.70028659999999998</v>
      </c>
    </row>
    <row r="92" spans="1:3" ht="15.6" customHeight="1" x14ac:dyDescent="0.25">
      <c r="A92" s="129" t="s">
        <v>404</v>
      </c>
      <c r="B92" s="131" t="s">
        <v>405</v>
      </c>
    </row>
    <row r="93" spans="1:3" x14ac:dyDescent="0.25">
      <c r="A93" s="133" t="s">
        <v>406</v>
      </c>
      <c r="B93" s="133" t="s">
        <v>530</v>
      </c>
    </row>
    <row r="94" spans="1:3" x14ac:dyDescent="0.25">
      <c r="A94" s="133" t="s">
        <v>407</v>
      </c>
      <c r="B94" s="133" t="s">
        <v>695</v>
      </c>
    </row>
    <row r="95" spans="1:3" x14ac:dyDescent="0.25">
      <c r="A95" s="133" t="s">
        <v>408</v>
      </c>
      <c r="B95" s="133"/>
    </row>
    <row r="96" spans="1:3" x14ac:dyDescent="0.25">
      <c r="A96" s="133" t="s">
        <v>409</v>
      </c>
      <c r="B96" s="133"/>
    </row>
    <row r="97" spans="1:2" ht="16.5" thickBot="1" x14ac:dyDescent="0.3">
      <c r="A97" s="134" t="s">
        <v>410</v>
      </c>
      <c r="B97" s="134" t="s">
        <v>719</v>
      </c>
    </row>
    <row r="98" spans="1:2" ht="30.75" thickBot="1" x14ac:dyDescent="0.3">
      <c r="A98" s="131" t="s">
        <v>411</v>
      </c>
      <c r="B98" s="132" t="s">
        <v>645</v>
      </c>
    </row>
    <row r="99" spans="1:2" ht="29.25" thickBot="1" x14ac:dyDescent="0.3">
      <c r="A99" s="127" t="s">
        <v>412</v>
      </c>
      <c r="B99" s="339">
        <v>7</v>
      </c>
    </row>
    <row r="100" spans="1:2" ht="16.5" thickBot="1" x14ac:dyDescent="0.3">
      <c r="A100" s="131" t="s">
        <v>388</v>
      </c>
      <c r="B100" s="340"/>
    </row>
    <row r="101" spans="1:2" ht="16.5" thickBot="1" x14ac:dyDescent="0.3">
      <c r="A101" s="131" t="s">
        <v>413</v>
      </c>
      <c r="B101" s="339">
        <v>4</v>
      </c>
    </row>
    <row r="102" spans="1:2" ht="16.5" thickBot="1" x14ac:dyDescent="0.3">
      <c r="A102" s="131" t="s">
        <v>414</v>
      </c>
      <c r="B102" s="340">
        <v>3</v>
      </c>
    </row>
    <row r="103" spans="1:2" ht="16.5" thickBot="1" x14ac:dyDescent="0.3">
      <c r="A103" s="139" t="s">
        <v>415</v>
      </c>
      <c r="B103" s="57" t="s">
        <v>742</v>
      </c>
    </row>
    <row r="104" spans="1:2" ht="16.5" thickBot="1" x14ac:dyDescent="0.3">
      <c r="A104" s="127" t="s">
        <v>416</v>
      </c>
      <c r="B104" s="137"/>
    </row>
    <row r="105" spans="1:2" ht="16.5" thickBot="1" x14ac:dyDescent="0.3">
      <c r="A105" s="133" t="s">
        <v>417</v>
      </c>
      <c r="B105" s="347">
        <f>'6.1. Паспорт сетевой график'!F43</f>
        <v>44194</v>
      </c>
    </row>
    <row r="106" spans="1:2" ht="16.5" thickBot="1" x14ac:dyDescent="0.3">
      <c r="A106" s="133" t="s">
        <v>418</v>
      </c>
      <c r="B106" s="140" t="s">
        <v>633</v>
      </c>
    </row>
    <row r="107" spans="1:2" ht="16.5" thickBot="1" x14ac:dyDescent="0.3">
      <c r="A107" s="133" t="s">
        <v>419</v>
      </c>
      <c r="B107" s="140" t="s">
        <v>633</v>
      </c>
    </row>
    <row r="108" spans="1:2" ht="29.25" thickBot="1" x14ac:dyDescent="0.3">
      <c r="A108" s="141" t="s">
        <v>420</v>
      </c>
      <c r="B108" s="138" t="s">
        <v>672</v>
      </c>
    </row>
    <row r="109" spans="1:2" ht="28.5" x14ac:dyDescent="0.25">
      <c r="A109" s="129" t="s">
        <v>421</v>
      </c>
      <c r="B109" s="542" t="s">
        <v>633</v>
      </c>
    </row>
    <row r="110" spans="1:2" x14ac:dyDescent="0.25">
      <c r="A110" s="133" t="s">
        <v>422</v>
      </c>
      <c r="B110" s="543"/>
    </row>
    <row r="111" spans="1:2" x14ac:dyDescent="0.25">
      <c r="A111" s="133" t="s">
        <v>423</v>
      </c>
      <c r="B111" s="543"/>
    </row>
    <row r="112" spans="1:2" x14ac:dyDescent="0.25">
      <c r="A112" s="133" t="s">
        <v>424</v>
      </c>
      <c r="B112" s="543"/>
    </row>
    <row r="113" spans="1:2" x14ac:dyDescent="0.25">
      <c r="A113" s="133" t="s">
        <v>425</v>
      </c>
      <c r="B113" s="543"/>
    </row>
    <row r="114" spans="1:2" ht="16.5" thickBot="1" x14ac:dyDescent="0.3">
      <c r="A114" s="142" t="s">
        <v>426</v>
      </c>
      <c r="B114" s="544"/>
    </row>
    <row r="117" spans="1:2" x14ac:dyDescent="0.25">
      <c r="A117" s="143"/>
      <c r="B117" s="144"/>
    </row>
    <row r="118" spans="1:2" x14ac:dyDescent="0.25">
      <c r="B118" s="145"/>
    </row>
    <row r="119" spans="1:2" x14ac:dyDescent="0.25">
      <c r="B119" s="14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5" t="s">
        <v>574</v>
      </c>
    </row>
    <row r="2" spans="1:1" ht="25.5" customHeight="1" x14ac:dyDescent="0.25">
      <c r="A2" s="545"/>
    </row>
    <row r="3" spans="1:1" ht="25.5" customHeight="1" x14ac:dyDescent="0.25">
      <c r="A3" s="545"/>
    </row>
    <row r="4" spans="1:1" ht="25.5" customHeight="1" x14ac:dyDescent="0.25">
      <c r="A4" s="545"/>
    </row>
    <row r="5" spans="1:1" ht="25.5" customHeight="1" x14ac:dyDescent="0.25">
      <c r="A5" s="545"/>
    </row>
    <row r="6" spans="1:1" ht="23.25" customHeight="1" x14ac:dyDescent="0.25">
      <c r="A6" s="255">
        <v>2</v>
      </c>
    </row>
    <row r="7" spans="1:1" s="113" customFormat="1" ht="23.25" customHeight="1" x14ac:dyDescent="0.25">
      <c r="A7" s="259" t="s">
        <v>575</v>
      </c>
    </row>
    <row r="8" spans="1:1" ht="31.5" customHeight="1" x14ac:dyDescent="0.25">
      <c r="A8" s="256" t="s">
        <v>584</v>
      </c>
    </row>
    <row r="9" spans="1:1" ht="45.75" customHeight="1" x14ac:dyDescent="0.25">
      <c r="A9" s="256" t="s">
        <v>585</v>
      </c>
    </row>
    <row r="10" spans="1:1" ht="33.75" customHeight="1" x14ac:dyDescent="0.25">
      <c r="A10" s="256" t="s">
        <v>586</v>
      </c>
    </row>
    <row r="11" spans="1:1" ht="23.25" customHeight="1" x14ac:dyDescent="0.25">
      <c r="A11" s="256" t="s">
        <v>587</v>
      </c>
    </row>
    <row r="12" spans="1:1" ht="23.25" customHeight="1" x14ac:dyDescent="0.25">
      <c r="A12" s="256" t="s">
        <v>588</v>
      </c>
    </row>
    <row r="13" spans="1:1" ht="33" customHeight="1" x14ac:dyDescent="0.25">
      <c r="A13" s="256" t="s">
        <v>589</v>
      </c>
    </row>
    <row r="14" spans="1:1" ht="23.25" customHeight="1" x14ac:dyDescent="0.25">
      <c r="A14" s="256" t="s">
        <v>590</v>
      </c>
    </row>
    <row r="15" spans="1:1" ht="23.25" customHeight="1" x14ac:dyDescent="0.25">
      <c r="A15" s="257" t="s">
        <v>591</v>
      </c>
    </row>
    <row r="16" spans="1:1" ht="34.5" customHeight="1" x14ac:dyDescent="0.25">
      <c r="A16" s="257" t="s">
        <v>592</v>
      </c>
    </row>
    <row r="17" spans="1:1" ht="39.75" customHeight="1" x14ac:dyDescent="0.25">
      <c r="A17" s="257" t="s">
        <v>593</v>
      </c>
    </row>
    <row r="18" spans="1:1" ht="40.5" customHeight="1" x14ac:dyDescent="0.25">
      <c r="A18" s="257" t="s">
        <v>594</v>
      </c>
    </row>
    <row r="19" spans="1:1" ht="48.75" customHeight="1" x14ac:dyDescent="0.25">
      <c r="A19" s="257" t="s">
        <v>592</v>
      </c>
    </row>
    <row r="20" spans="1:1" ht="39" customHeight="1" x14ac:dyDescent="0.25">
      <c r="A20" s="256" t="s">
        <v>593</v>
      </c>
    </row>
    <row r="21" spans="1:1" ht="39.75" customHeight="1" x14ac:dyDescent="0.25">
      <c r="A21" s="256" t="s">
        <v>595</v>
      </c>
    </row>
    <row r="22" spans="1:1" ht="35.25" customHeight="1" x14ac:dyDescent="0.25">
      <c r="A22" s="256" t="s">
        <v>596</v>
      </c>
    </row>
    <row r="23" spans="1:1" ht="35.25" customHeight="1" x14ac:dyDescent="0.25">
      <c r="A23" s="256" t="s">
        <v>597</v>
      </c>
    </row>
    <row r="24" spans="1:1" ht="57.75" customHeight="1" x14ac:dyDescent="0.25">
      <c r="A24" s="256" t="s">
        <v>598</v>
      </c>
    </row>
    <row r="25" spans="1:1" s="113" customFormat="1" ht="23.25" customHeight="1" x14ac:dyDescent="0.25">
      <c r="A25" s="259" t="s">
        <v>599</v>
      </c>
    </row>
    <row r="26" spans="1:1" ht="36.75" customHeight="1" x14ac:dyDescent="0.25">
      <c r="A26" s="256" t="s">
        <v>600</v>
      </c>
    </row>
    <row r="27" spans="1:1" ht="23.25" customHeight="1" x14ac:dyDescent="0.25">
      <c r="A27" s="256" t="s">
        <v>601</v>
      </c>
    </row>
    <row r="28" spans="1:1" ht="30.75" customHeight="1" x14ac:dyDescent="0.25">
      <c r="A28" s="256" t="s">
        <v>602</v>
      </c>
    </row>
    <row r="29" spans="1:1" s="258" customFormat="1" ht="23.25" customHeight="1" x14ac:dyDescent="0.25">
      <c r="A29" s="256" t="s">
        <v>603</v>
      </c>
    </row>
    <row r="30" spans="1:1" s="258" customFormat="1" ht="23.25" customHeight="1" x14ac:dyDescent="0.25">
      <c r="A30" s="256" t="s">
        <v>604</v>
      </c>
    </row>
    <row r="31" spans="1:1" ht="23.25" customHeight="1" x14ac:dyDescent="0.25">
      <c r="A31" s="256" t="s">
        <v>605</v>
      </c>
    </row>
    <row r="32" spans="1:1" ht="23.25" customHeight="1" x14ac:dyDescent="0.25">
      <c r="A32" s="256" t="s">
        <v>606</v>
      </c>
    </row>
    <row r="33" spans="1:1" ht="23.25" customHeight="1" x14ac:dyDescent="0.25">
      <c r="A33" s="256" t="s">
        <v>607</v>
      </c>
    </row>
    <row r="34" spans="1:1" ht="23.25" customHeight="1" x14ac:dyDescent="0.25">
      <c r="A34" s="256" t="s">
        <v>608</v>
      </c>
    </row>
    <row r="35" spans="1:1" ht="23.25" customHeight="1" x14ac:dyDescent="0.25">
      <c r="A35" s="256" t="s">
        <v>609</v>
      </c>
    </row>
    <row r="36" spans="1:1" ht="23.25" customHeight="1" x14ac:dyDescent="0.25">
      <c r="A36" s="256" t="s">
        <v>610</v>
      </c>
    </row>
    <row r="37" spans="1:1" ht="23.25" customHeight="1" x14ac:dyDescent="0.25">
      <c r="A37" s="256" t="s">
        <v>611</v>
      </c>
    </row>
    <row r="38" spans="1:1" ht="23.25" customHeight="1" x14ac:dyDescent="0.25">
      <c r="A38" s="256" t="s">
        <v>612</v>
      </c>
    </row>
    <row r="39" spans="1:1" ht="23.25" customHeight="1" x14ac:dyDescent="0.25">
      <c r="A39" s="256" t="s">
        <v>613</v>
      </c>
    </row>
    <row r="40" spans="1:1" ht="23.25" customHeight="1" x14ac:dyDescent="0.25">
      <c r="A40" s="256" t="s">
        <v>614</v>
      </c>
    </row>
    <row r="41" spans="1:1" ht="23.25" customHeight="1" x14ac:dyDescent="0.25">
      <c r="A41" s="256" t="s">
        <v>615</v>
      </c>
    </row>
    <row r="42" spans="1:1" ht="23.25" customHeight="1" x14ac:dyDescent="0.25">
      <c r="A42" s="256" t="s">
        <v>616</v>
      </c>
    </row>
    <row r="43" spans="1:1" ht="23.25" customHeight="1" x14ac:dyDescent="0.25">
      <c r="A43" s="256" t="s">
        <v>617</v>
      </c>
    </row>
    <row r="44" spans="1:1" s="113" customFormat="1" ht="36" customHeight="1" x14ac:dyDescent="0.25">
      <c r="A44" s="259" t="s">
        <v>618</v>
      </c>
    </row>
    <row r="45" spans="1:1" ht="36" customHeight="1" x14ac:dyDescent="0.25">
      <c r="A45" s="256" t="s">
        <v>619</v>
      </c>
    </row>
    <row r="46" spans="1:1" ht="36" customHeight="1" x14ac:dyDescent="0.25">
      <c r="A46" s="256" t="s">
        <v>620</v>
      </c>
    </row>
    <row r="47" spans="1:1" s="113" customFormat="1" ht="23.25" customHeight="1" x14ac:dyDescent="0.25">
      <c r="A47" s="259" t="s">
        <v>621</v>
      </c>
    </row>
    <row r="48" spans="1:1" s="113" customFormat="1" ht="23.25" customHeight="1" x14ac:dyDescent="0.25">
      <c r="A48" s="260" t="s">
        <v>622</v>
      </c>
    </row>
    <row r="49" spans="1:1" s="113" customFormat="1" ht="23.25" customHeight="1" x14ac:dyDescent="0.25">
      <c r="A49" s="260" t="s">
        <v>623</v>
      </c>
    </row>
    <row r="50" spans="1:1" ht="23.25" customHeight="1" x14ac:dyDescent="0.25">
      <c r="A50" s="25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657</v>
      </c>
    </row>
    <row r="2" spans="1:1" ht="18.75" customHeight="1" x14ac:dyDescent="0.25">
      <c r="A2" t="s">
        <v>658</v>
      </c>
    </row>
    <row r="3" spans="1:1" x14ac:dyDescent="0.25">
      <c r="A3" t="s">
        <v>625</v>
      </c>
    </row>
    <row r="4" spans="1:1" x14ac:dyDescent="0.25">
      <c r="A4" t="s">
        <v>659</v>
      </c>
    </row>
    <row r="5" spans="1:1" x14ac:dyDescent="0.25">
      <c r="A5" t="s">
        <v>660</v>
      </c>
    </row>
    <row r="6" spans="1:1" x14ac:dyDescent="0.25">
      <c r="A6" t="s">
        <v>661</v>
      </c>
    </row>
    <row r="7" spans="1:1" x14ac:dyDescent="0.25">
      <c r="A7" t="s">
        <v>662</v>
      </c>
    </row>
    <row r="8" spans="1:1" x14ac:dyDescent="0.25">
      <c r="A8" t="s">
        <v>663</v>
      </c>
    </row>
    <row r="9" spans="1:1" x14ac:dyDescent="0.25">
      <c r="A9" t="s">
        <v>626</v>
      </c>
    </row>
    <row r="10" spans="1:1" x14ac:dyDescent="0.25">
      <c r="A10" t="s">
        <v>627</v>
      </c>
    </row>
    <row r="11" spans="1:1" x14ac:dyDescent="0.25">
      <c r="A11" t="s">
        <v>664</v>
      </c>
    </row>
    <row r="12" spans="1:1" x14ac:dyDescent="0.25">
      <c r="A12" t="s">
        <v>665</v>
      </c>
    </row>
    <row r="13" spans="1:1" x14ac:dyDescent="0.25">
      <c r="A13" t="s">
        <v>666</v>
      </c>
    </row>
    <row r="14" spans="1:1" x14ac:dyDescent="0.25">
      <c r="A14" t="s">
        <v>628</v>
      </c>
    </row>
    <row r="15" spans="1:1" x14ac:dyDescent="0.25">
      <c r="A15" t="s">
        <v>667</v>
      </c>
    </row>
    <row r="16" spans="1:1" x14ac:dyDescent="0.25">
      <c r="A16" t="s">
        <v>668</v>
      </c>
    </row>
    <row r="17" spans="1:1" x14ac:dyDescent="0.25">
      <c r="A17" t="s">
        <v>629</v>
      </c>
    </row>
    <row r="18" spans="1:1" x14ac:dyDescent="0.25">
      <c r="A18" t="s">
        <v>669</v>
      </c>
    </row>
    <row r="19" spans="1:1" x14ac:dyDescent="0.25">
      <c r="A19" t="s">
        <v>670</v>
      </c>
    </row>
    <row r="20" spans="1:1" ht="17.25" customHeight="1" x14ac:dyDescent="0.25">
      <c r="A20" t="s">
        <v>630</v>
      </c>
    </row>
    <row r="21" spans="1:1" x14ac:dyDescent="0.25">
      <c r="A21" t="s">
        <v>671</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634</v>
      </c>
    </row>
    <row r="3" spans="1:1" x14ac:dyDescent="0.25">
      <c r="A3" t="s">
        <v>635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638</v>
      </c>
    </row>
    <row r="3" spans="1:1" x14ac:dyDescent="0.25">
      <c r="A3" t="s">
        <v>639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5.42578125" style="1" customWidth="1"/>
    <col min="18" max="18" width="77.42578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9" t="s">
        <v>7</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23" t="str">
        <f>'1.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12"/>
      <c r="U8" s="12"/>
      <c r="V8" s="12"/>
      <c r="W8" s="12"/>
      <c r="X8" s="12"/>
      <c r="Y8" s="12"/>
      <c r="Z8" s="12"/>
      <c r="AA8" s="12"/>
      <c r="AB8" s="12"/>
    </row>
    <row r="9" spans="1:28" s="11" customFormat="1" ht="18.75" x14ac:dyDescent="0.2">
      <c r="A9" s="425" t="s">
        <v>6</v>
      </c>
      <c r="B9" s="425"/>
      <c r="C9" s="425"/>
      <c r="D9" s="425"/>
      <c r="E9" s="425"/>
      <c r="F9" s="425"/>
      <c r="G9" s="425"/>
      <c r="H9" s="425"/>
      <c r="I9" s="425"/>
      <c r="J9" s="425"/>
      <c r="K9" s="425"/>
      <c r="L9" s="425"/>
      <c r="M9" s="425"/>
      <c r="N9" s="425"/>
      <c r="O9" s="425"/>
      <c r="P9" s="425"/>
      <c r="Q9" s="425"/>
      <c r="R9" s="425"/>
      <c r="S9" s="425"/>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23" t="str">
        <f>'1. паспорт местоположение'!A12:C12</f>
        <v>I_17-1850</v>
      </c>
      <c r="B11" s="423"/>
      <c r="C11" s="423"/>
      <c r="D11" s="423"/>
      <c r="E11" s="423"/>
      <c r="F11" s="423"/>
      <c r="G11" s="423"/>
      <c r="H11" s="423"/>
      <c r="I11" s="423"/>
      <c r="J11" s="423"/>
      <c r="K11" s="423"/>
      <c r="L11" s="423"/>
      <c r="M11" s="423"/>
      <c r="N11" s="423"/>
      <c r="O11" s="423"/>
      <c r="P11" s="423"/>
      <c r="Q11" s="423"/>
      <c r="R11" s="423"/>
      <c r="S11" s="423"/>
      <c r="T11" s="12"/>
      <c r="U11" s="12"/>
      <c r="V11" s="12"/>
      <c r="W11" s="12"/>
      <c r="X11" s="12"/>
      <c r="Y11" s="12"/>
      <c r="Z11" s="12"/>
      <c r="AA11" s="12"/>
      <c r="AB11" s="12"/>
    </row>
    <row r="12" spans="1:28" s="11"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3" t="str">
        <f>'1. паспорт местоположение'!A9:C9</f>
        <v>Акционерное общество "Янтарьэнерго" ДЗО  ПАО "Россети"</v>
      </c>
      <c r="B14" s="423"/>
      <c r="C14" s="423"/>
      <c r="D14" s="423"/>
      <c r="E14" s="423"/>
      <c r="F14" s="423"/>
      <c r="G14" s="423"/>
      <c r="H14" s="423"/>
      <c r="I14" s="423"/>
      <c r="J14" s="423"/>
      <c r="K14" s="423"/>
      <c r="L14" s="423"/>
      <c r="M14" s="423"/>
      <c r="N14" s="423"/>
      <c r="O14" s="423"/>
      <c r="P14" s="423"/>
      <c r="Q14" s="423"/>
      <c r="R14" s="423"/>
      <c r="S14" s="423"/>
      <c r="T14" s="7"/>
      <c r="U14" s="7"/>
      <c r="V14" s="7"/>
      <c r="W14" s="7"/>
      <c r="X14" s="7"/>
      <c r="Y14" s="7"/>
      <c r="Z14" s="7"/>
      <c r="AA14" s="7"/>
      <c r="AB14" s="7"/>
    </row>
    <row r="15" spans="1:28" s="3" customFormat="1" ht="15" customHeight="1" x14ac:dyDescent="0.2">
      <c r="A15" s="424" t="str">
        <f>'1. паспорт местоположение'!A15:C15</f>
        <v>Строительство ТП 15/0,4 кВ, ЛЭП 15 кВ от ВЛ 15-06 (инв.5115422) п. Яблоневка Гурьевский ГО</v>
      </c>
      <c r="B15" s="425"/>
      <c r="C15" s="425"/>
      <c r="D15" s="425"/>
      <c r="E15" s="425"/>
      <c r="F15" s="425"/>
      <c r="G15" s="425"/>
      <c r="H15" s="425"/>
      <c r="I15" s="425"/>
      <c r="J15" s="425"/>
      <c r="K15" s="425"/>
      <c r="L15" s="425"/>
      <c r="M15" s="425"/>
      <c r="N15" s="425"/>
      <c r="O15" s="425"/>
      <c r="P15" s="425"/>
      <c r="Q15" s="425"/>
      <c r="R15" s="425"/>
      <c r="S15" s="425"/>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485</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31" t="s">
        <v>3</v>
      </c>
      <c r="B19" s="431" t="s">
        <v>94</v>
      </c>
      <c r="C19" s="432" t="s">
        <v>379</v>
      </c>
      <c r="D19" s="431" t="s">
        <v>378</v>
      </c>
      <c r="E19" s="431" t="s">
        <v>93</v>
      </c>
      <c r="F19" s="431" t="s">
        <v>92</v>
      </c>
      <c r="G19" s="431" t="s">
        <v>374</v>
      </c>
      <c r="H19" s="431" t="s">
        <v>91</v>
      </c>
      <c r="I19" s="431" t="s">
        <v>90</v>
      </c>
      <c r="J19" s="431" t="s">
        <v>89</v>
      </c>
      <c r="K19" s="431" t="s">
        <v>88</v>
      </c>
      <c r="L19" s="431" t="s">
        <v>87</v>
      </c>
      <c r="M19" s="431" t="s">
        <v>86</v>
      </c>
      <c r="N19" s="431" t="s">
        <v>85</v>
      </c>
      <c r="O19" s="431" t="s">
        <v>84</v>
      </c>
      <c r="P19" s="431" t="s">
        <v>83</v>
      </c>
      <c r="Q19" s="431" t="s">
        <v>377</v>
      </c>
      <c r="R19" s="431"/>
      <c r="S19" s="434" t="s">
        <v>479</v>
      </c>
      <c r="T19" s="4"/>
      <c r="U19" s="4"/>
      <c r="V19" s="4"/>
      <c r="W19" s="4"/>
      <c r="X19" s="4"/>
      <c r="Y19" s="4"/>
    </row>
    <row r="20" spans="1:28" s="3" customFormat="1" ht="180.75" customHeight="1" x14ac:dyDescent="0.2">
      <c r="A20" s="431"/>
      <c r="B20" s="431"/>
      <c r="C20" s="433"/>
      <c r="D20" s="431"/>
      <c r="E20" s="431"/>
      <c r="F20" s="431"/>
      <c r="G20" s="431"/>
      <c r="H20" s="431"/>
      <c r="I20" s="431"/>
      <c r="J20" s="431"/>
      <c r="K20" s="431"/>
      <c r="L20" s="431"/>
      <c r="M20" s="431"/>
      <c r="N20" s="431"/>
      <c r="O20" s="431"/>
      <c r="P20" s="431"/>
      <c r="Q20" s="40" t="s">
        <v>375</v>
      </c>
      <c r="R20" s="41" t="s">
        <v>376</v>
      </c>
      <c r="S20" s="434"/>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333" customFormat="1" ht="114.75" x14ac:dyDescent="0.25">
      <c r="A22" s="280">
        <v>1</v>
      </c>
      <c r="B22" s="266" t="s">
        <v>682</v>
      </c>
      <c r="C22" s="266"/>
      <c r="D22" s="266" t="s">
        <v>676</v>
      </c>
      <c r="E22" s="266" t="s">
        <v>683</v>
      </c>
      <c r="F22" s="266" t="s">
        <v>684</v>
      </c>
      <c r="G22" s="266" t="s">
        <v>685</v>
      </c>
      <c r="H22" s="312">
        <v>0.25</v>
      </c>
      <c r="I22" s="266"/>
      <c r="J22" s="312">
        <v>0.25</v>
      </c>
      <c r="K22" s="266" t="s">
        <v>673</v>
      </c>
      <c r="L22" s="313">
        <v>3</v>
      </c>
      <c r="M22" s="266">
        <v>0.25</v>
      </c>
      <c r="N22" s="266">
        <v>1</v>
      </c>
      <c r="O22" s="266"/>
      <c r="P22" s="266"/>
      <c r="Q22" s="343" t="s">
        <v>686</v>
      </c>
      <c r="R22" s="309"/>
      <c r="S22" s="314">
        <v>1.0900000000000001</v>
      </c>
      <c r="T22" s="264"/>
      <c r="U22" s="264"/>
      <c r="V22" s="264"/>
      <c r="W22" s="264"/>
      <c r="X22" s="264"/>
      <c r="Y22" s="264"/>
      <c r="Z22" s="264"/>
      <c r="AA22" s="264"/>
      <c r="AB22" s="264"/>
    </row>
    <row r="23" spans="1:28" ht="20.25" customHeight="1" x14ac:dyDescent="0.25">
      <c r="A23" s="118"/>
      <c r="B23" s="45" t="s">
        <v>372</v>
      </c>
      <c r="C23" s="45"/>
      <c r="D23" s="45"/>
      <c r="E23" s="118" t="s">
        <v>373</v>
      </c>
      <c r="F23" s="118" t="s">
        <v>373</v>
      </c>
      <c r="G23" s="118" t="s">
        <v>373</v>
      </c>
      <c r="H23" s="265">
        <f>SUM(H22:H22)</f>
        <v>0.25</v>
      </c>
      <c r="I23" s="265">
        <f>SUM(I22:I22)</f>
        <v>0</v>
      </c>
      <c r="J23" s="265">
        <f>SUM(J22:J22)</f>
        <v>0.25</v>
      </c>
      <c r="K23" s="118"/>
      <c r="L23" s="118"/>
      <c r="M23" s="118"/>
      <c r="N23" s="118"/>
      <c r="O23" s="118"/>
      <c r="P23" s="118"/>
      <c r="Q23" s="119"/>
      <c r="R23" s="2"/>
      <c r="S23" s="265">
        <f>SUM(S22:S22)</f>
        <v>1.0900000000000001</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70" zoomScaleNormal="60" zoomScaleSheetLayoutView="70" workbookViewId="0">
      <selection activeCell="C26" sqref="C26"/>
    </sheetView>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21.28515625"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2022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23" t="str">
        <f>'1. паспорт местоположение'!A9:C9</f>
        <v>Акционерное общество "Янтарьэнерго"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1"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23" t="str">
        <f>'1. паспорт местоположение'!A12:C12</f>
        <v>I_17-1850</v>
      </c>
      <c r="B13" s="423"/>
      <c r="C13" s="423"/>
      <c r="D13" s="423"/>
      <c r="E13" s="423"/>
      <c r="F13" s="423"/>
      <c r="G13" s="423"/>
      <c r="H13" s="423"/>
      <c r="I13" s="423"/>
      <c r="J13" s="423"/>
      <c r="K13" s="423"/>
      <c r="L13" s="423"/>
      <c r="M13" s="423"/>
      <c r="N13" s="423"/>
      <c r="O13" s="423"/>
      <c r="P13" s="423"/>
      <c r="Q13" s="423"/>
      <c r="R13" s="423"/>
      <c r="S13" s="423"/>
      <c r="T13" s="423"/>
    </row>
    <row r="14" spans="1:20" s="11"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3" t="str">
        <f>'1. паспорт местоположение'!A15</f>
        <v>Строительство ТП 15/0,4 кВ, ЛЭП 15 кВ от ВЛ 15-06 (инв.5115422) п. Яблоневка Гурьевский ГО</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38" t="s">
        <v>490</v>
      </c>
      <c r="B19" s="438"/>
      <c r="C19" s="438"/>
      <c r="D19" s="438"/>
      <c r="E19" s="438"/>
      <c r="F19" s="438"/>
      <c r="G19" s="438"/>
      <c r="H19" s="438"/>
      <c r="I19" s="438"/>
      <c r="J19" s="438"/>
      <c r="K19" s="438"/>
      <c r="L19" s="438"/>
      <c r="M19" s="438"/>
      <c r="N19" s="438"/>
      <c r="O19" s="438"/>
      <c r="P19" s="438"/>
      <c r="Q19" s="438"/>
      <c r="R19" s="438"/>
      <c r="S19" s="438"/>
      <c r="T19" s="438"/>
    </row>
    <row r="20" spans="1:113" s="56"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35" t="s">
        <v>111</v>
      </c>
      <c r="R21" s="436"/>
      <c r="S21" s="435" t="s">
        <v>110</v>
      </c>
      <c r="T21" s="437"/>
    </row>
    <row r="22" spans="1:113" ht="204.75" customHeight="1" x14ac:dyDescent="0.25">
      <c r="A22" s="441"/>
      <c r="B22" s="445"/>
      <c r="C22" s="446"/>
      <c r="D22" s="450"/>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25">
      <c r="A23" s="44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57" t="s">
        <v>373</v>
      </c>
      <c r="C25" s="57" t="s">
        <v>737</v>
      </c>
      <c r="D25" s="342" t="s">
        <v>101</v>
      </c>
      <c r="E25" s="57" t="s">
        <v>373</v>
      </c>
      <c r="F25" s="57" t="s">
        <v>735</v>
      </c>
      <c r="G25" s="57" t="s">
        <v>373</v>
      </c>
      <c r="H25" s="57" t="s">
        <v>677</v>
      </c>
      <c r="I25" s="57" t="s">
        <v>373</v>
      </c>
      <c r="J25" s="57">
        <v>2020</v>
      </c>
      <c r="K25" s="57" t="s">
        <v>373</v>
      </c>
      <c r="L25" s="57" t="s">
        <v>373</v>
      </c>
      <c r="M25" s="57">
        <v>15</v>
      </c>
      <c r="N25" s="57" t="s">
        <v>373</v>
      </c>
      <c r="O25" s="57">
        <v>0.25</v>
      </c>
      <c r="P25" s="57" t="s">
        <v>373</v>
      </c>
      <c r="Q25" s="57" t="s">
        <v>373</v>
      </c>
      <c r="R25" s="57" t="s">
        <v>373</v>
      </c>
      <c r="S25" s="57" t="s">
        <v>373</v>
      </c>
      <c r="T25" s="57"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4" zoomScale="80" zoomScaleSheetLayoutView="80" workbookViewId="0">
      <selection activeCell="N26" sqref="N26"/>
    </sheetView>
  </sheetViews>
  <sheetFormatPr defaultColWidth="10.7109375" defaultRowHeight="15.75" x14ac:dyDescent="0.25"/>
  <cols>
    <col min="1" max="1" width="10.7109375" style="48"/>
    <col min="2" max="3" width="19.42578125" style="48" customWidth="1"/>
    <col min="4" max="4" width="11.5703125" style="48" customWidth="1"/>
    <col min="5" max="5" width="29.42578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8.7109375" style="48" customWidth="1"/>
    <col min="23" max="23" width="10.855468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3" t="str">
        <f>'1. паспорт местоположение'!A9</f>
        <v>Акционерное общество "Янтарьэнерго" ДЗО  ПАО "Россети"</v>
      </c>
      <c r="F9" s="423"/>
      <c r="G9" s="423"/>
      <c r="H9" s="423"/>
      <c r="I9" s="423"/>
      <c r="J9" s="423"/>
      <c r="K9" s="423"/>
      <c r="L9" s="423"/>
      <c r="M9" s="423"/>
      <c r="N9" s="423"/>
      <c r="O9" s="423"/>
      <c r="P9" s="423"/>
      <c r="Q9" s="423"/>
      <c r="R9" s="423"/>
      <c r="S9" s="423"/>
      <c r="T9" s="423"/>
      <c r="U9" s="423"/>
      <c r="V9" s="423"/>
      <c r="W9" s="423"/>
      <c r="X9" s="423"/>
      <c r="Y9" s="423"/>
    </row>
    <row r="10" spans="1:27" s="11"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3" t="str">
        <f>'1. паспорт местоположение'!A12</f>
        <v>I_17-1850</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3" t="str">
        <f>'1. паспорт местоположение'!A15</f>
        <v>Строительство ТП 15/0,4 кВ, ЛЭП 15 кВ от ВЛ 15-06 (инв.5115422) п. Яблоневка Гурьевский ГО</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492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6" customFormat="1" ht="21" customHeight="1" x14ac:dyDescent="0.25"/>
    <row r="21" spans="1:27" ht="15.75" customHeight="1" x14ac:dyDescent="0.25">
      <c r="A21" s="451" t="s">
        <v>3</v>
      </c>
      <c r="B21" s="453" t="s">
        <v>499</v>
      </c>
      <c r="C21" s="454"/>
      <c r="D21" s="453" t="s">
        <v>501</v>
      </c>
      <c r="E21" s="454"/>
      <c r="F21" s="435" t="s">
        <v>88</v>
      </c>
      <c r="G21" s="437"/>
      <c r="H21" s="437"/>
      <c r="I21" s="436"/>
      <c r="J21" s="451" t="s">
        <v>502</v>
      </c>
      <c r="K21" s="453" t="s">
        <v>503</v>
      </c>
      <c r="L21" s="454"/>
      <c r="M21" s="453" t="s">
        <v>504</v>
      </c>
      <c r="N21" s="454"/>
      <c r="O21" s="453" t="s">
        <v>491</v>
      </c>
      <c r="P21" s="454"/>
      <c r="Q21" s="453" t="s">
        <v>121</v>
      </c>
      <c r="R21" s="454"/>
      <c r="S21" s="451" t="s">
        <v>120</v>
      </c>
      <c r="T21" s="451" t="s">
        <v>505</v>
      </c>
      <c r="U21" s="451" t="s">
        <v>500</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109" t="s">
        <v>109</v>
      </c>
      <c r="Y22" s="109" t="s">
        <v>489</v>
      </c>
      <c r="Z22" s="109" t="s">
        <v>108</v>
      </c>
      <c r="AA22" s="109" t="s">
        <v>107</v>
      </c>
    </row>
    <row r="23" spans="1:27" ht="60" customHeight="1" x14ac:dyDescent="0.25">
      <c r="A23" s="452"/>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4" customFormat="1" ht="31.5" x14ac:dyDescent="0.25">
      <c r="A25" s="411">
        <v>1</v>
      </c>
      <c r="B25" s="411" t="s">
        <v>687</v>
      </c>
      <c r="C25" s="411" t="str">
        <f>B25</f>
        <v>ВЛ 15 кВ 15-06</v>
      </c>
      <c r="D25" s="411" t="s">
        <v>373</v>
      </c>
      <c r="E25" s="344" t="s">
        <v>736</v>
      </c>
      <c r="F25" s="344" t="s">
        <v>373</v>
      </c>
      <c r="G25" s="344">
        <v>15</v>
      </c>
      <c r="H25" s="344" t="s">
        <v>373</v>
      </c>
      <c r="I25" s="344">
        <v>15</v>
      </c>
      <c r="J25" s="344" t="s">
        <v>373</v>
      </c>
      <c r="K25" s="344" t="s">
        <v>373</v>
      </c>
      <c r="L25" s="344">
        <v>1</v>
      </c>
      <c r="M25" s="344" t="s">
        <v>373</v>
      </c>
      <c r="N25" s="344">
        <v>70</v>
      </c>
      <c r="O25" s="344" t="s">
        <v>373</v>
      </c>
      <c r="P25" s="344" t="s">
        <v>650</v>
      </c>
      <c r="Q25" s="344" t="s">
        <v>373</v>
      </c>
      <c r="R25" s="344">
        <v>0.02</v>
      </c>
      <c r="S25" s="344" t="s">
        <v>373</v>
      </c>
      <c r="T25" s="344" t="s">
        <v>373</v>
      </c>
      <c r="U25" s="344" t="s">
        <v>373</v>
      </c>
      <c r="V25" s="344" t="s">
        <v>373</v>
      </c>
      <c r="W25" s="344" t="s">
        <v>678</v>
      </c>
      <c r="X25" s="411" t="s">
        <v>373</v>
      </c>
      <c r="Y25" s="411" t="s">
        <v>373</v>
      </c>
      <c r="Z25" s="411" t="s">
        <v>373</v>
      </c>
      <c r="AA25" s="411" t="s">
        <v>373</v>
      </c>
    </row>
    <row r="26" spans="1:27" x14ac:dyDescent="0.25">
      <c r="R26" s="48">
        <f>SUM(R25:R25)</f>
        <v>0.02</v>
      </c>
    </row>
  </sheetData>
  <mergeCells count="27">
    <mergeCell ref="M21:N22"/>
    <mergeCell ref="Q21:R22"/>
    <mergeCell ref="S21:S22"/>
    <mergeCell ref="T21:T22"/>
    <mergeCell ref="X21:Y21"/>
    <mergeCell ref="V21:W22"/>
    <mergeCell ref="A21:A23"/>
    <mergeCell ref="D21:E22"/>
    <mergeCell ref="F21:I21"/>
    <mergeCell ref="J21:J22"/>
    <mergeCell ref="K21:L22"/>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2022 год</v>
      </c>
      <c r="B5" s="415"/>
      <c r="C5" s="41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29" t="s">
        <v>7</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23" t="str">
        <f>'1. паспорт местоположение'!A9:C9</f>
        <v>Акционерное общество "Янтарьэнерго" ДЗО  ПАО "Россети"</v>
      </c>
      <c r="B9" s="423"/>
      <c r="C9" s="423"/>
      <c r="D9" s="7"/>
      <c r="E9" s="7"/>
      <c r="F9" s="7"/>
      <c r="G9" s="7"/>
      <c r="H9" s="12"/>
      <c r="I9" s="12"/>
      <c r="J9" s="12"/>
      <c r="K9" s="12"/>
      <c r="L9" s="12"/>
      <c r="M9" s="12"/>
      <c r="N9" s="12"/>
      <c r="O9" s="12"/>
      <c r="P9" s="12"/>
      <c r="Q9" s="12"/>
      <c r="R9" s="12"/>
      <c r="S9" s="12"/>
      <c r="T9" s="12"/>
      <c r="U9" s="12"/>
    </row>
    <row r="10" spans="1:29" s="11" customFormat="1" ht="18.75" x14ac:dyDescent="0.2">
      <c r="A10" s="425" t="s">
        <v>6</v>
      </c>
      <c r="B10" s="425"/>
      <c r="C10" s="425"/>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23" t="str">
        <f>'1. паспорт местоположение'!A12:C12</f>
        <v>I_17-1850</v>
      </c>
      <c r="B12" s="423"/>
      <c r="C12" s="423"/>
      <c r="D12" s="7"/>
      <c r="E12" s="7"/>
      <c r="F12" s="7"/>
      <c r="G12" s="7"/>
      <c r="H12" s="12"/>
      <c r="I12" s="12"/>
      <c r="J12" s="12"/>
      <c r="K12" s="12"/>
      <c r="L12" s="12"/>
      <c r="M12" s="12"/>
      <c r="N12" s="12"/>
      <c r="O12" s="12"/>
      <c r="P12" s="12"/>
      <c r="Q12" s="12"/>
      <c r="R12" s="12"/>
      <c r="S12" s="12"/>
      <c r="T12" s="12"/>
      <c r="U12" s="12"/>
    </row>
    <row r="13" spans="1:29" s="11" customFormat="1" ht="18.75" x14ac:dyDescent="0.2">
      <c r="A13" s="425" t="s">
        <v>5</v>
      </c>
      <c r="B13" s="425"/>
      <c r="C13" s="42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48" customHeight="1" x14ac:dyDescent="0.2">
      <c r="A15" s="458" t="str">
        <f>'1. паспорт местоположение'!A15</f>
        <v>Строительство ТП 15/0,4 кВ, ЛЭП 15 кВ от ВЛ 15-06 (инв.5115422) п. Яблоневка Гурьевский ГО</v>
      </c>
      <c r="B15" s="458"/>
      <c r="C15" s="458"/>
      <c r="D15" s="7"/>
      <c r="E15" s="7"/>
      <c r="F15" s="7"/>
      <c r="G15" s="7"/>
      <c r="H15" s="7"/>
      <c r="I15" s="7"/>
      <c r="J15" s="7"/>
      <c r="K15" s="7"/>
      <c r="L15" s="7"/>
      <c r="M15" s="7"/>
      <c r="N15" s="7"/>
      <c r="O15" s="7"/>
      <c r="P15" s="7"/>
      <c r="Q15" s="7"/>
      <c r="R15" s="7"/>
      <c r="S15" s="7"/>
      <c r="T15" s="7"/>
      <c r="U15" s="7"/>
    </row>
    <row r="16" spans="1:29" s="3" customFormat="1" ht="15" customHeight="1" x14ac:dyDescent="0.2">
      <c r="A16" s="425" t="s">
        <v>4</v>
      </c>
      <c r="B16" s="425"/>
      <c r="C16" s="425"/>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484</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5" t="s">
        <v>649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0,25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28" t="s">
        <v>738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4" t="s">
        <v>739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648</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498</v>
      </c>
      <c r="C27" s="345" t="s">
        <v>688</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645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3"/>
      <c r="AB6" s="153"/>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3"/>
      <c r="AB7" s="153"/>
    </row>
    <row r="8" spans="1:28" x14ac:dyDescent="0.25">
      <c r="A8" s="423" t="str">
        <f>'1. паспорт местоположение'!A9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54"/>
      <c r="AB8" s="154"/>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55"/>
      <c r="AB9" s="155"/>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3"/>
      <c r="AB10" s="153"/>
    </row>
    <row r="11" spans="1:28" x14ac:dyDescent="0.25">
      <c r="A11" s="423" t="str">
        <f>'1. паспорт местоположение'!A12:C12</f>
        <v>I_17-1850</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54"/>
      <c r="AB11" s="154"/>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55"/>
      <c r="AB12" s="155"/>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3" t="str">
        <f>'1. паспорт местоположение'!A15</f>
        <v>Строительство ТП 15/0,4 кВ, ЛЭП 15 кВ от ВЛ 15-06 (инв.5115422) п. Яблоневка Гурьевский ГО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54"/>
      <c r="AB14" s="154"/>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55"/>
      <c r="AB15" s="155"/>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3"/>
      <c r="AB16" s="163"/>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3"/>
      <c r="AB17" s="163"/>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3"/>
      <c r="AB18" s="163"/>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3"/>
      <c r="AB19" s="163"/>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4"/>
      <c r="AB20" s="164"/>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4"/>
      <c r="AB21" s="164"/>
    </row>
    <row r="22" spans="1:28" x14ac:dyDescent="0.25">
      <c r="A22" s="461" t="s">
        <v>516</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5"/>
      <c r="AB22" s="165"/>
    </row>
    <row r="23" spans="1:28" ht="32.25" customHeight="1" x14ac:dyDescent="0.25">
      <c r="A23" s="463" t="s">
        <v>370</v>
      </c>
      <c r="B23" s="464"/>
      <c r="C23" s="464"/>
      <c r="D23" s="464"/>
      <c r="E23" s="464"/>
      <c r="F23" s="464"/>
      <c r="G23" s="464"/>
      <c r="H23" s="464"/>
      <c r="I23" s="464"/>
      <c r="J23" s="464"/>
      <c r="K23" s="464"/>
      <c r="L23" s="465"/>
      <c r="M23" s="462" t="s">
        <v>371</v>
      </c>
      <c r="N23" s="462"/>
      <c r="O23" s="462"/>
      <c r="P23" s="462"/>
      <c r="Q23" s="462"/>
      <c r="R23" s="462"/>
      <c r="S23" s="462"/>
      <c r="T23" s="462"/>
      <c r="U23" s="462"/>
      <c r="V23" s="462"/>
      <c r="W23" s="462"/>
      <c r="X23" s="462"/>
      <c r="Y23" s="462"/>
      <c r="Z23" s="462"/>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K21" sqref="K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6"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29" t="s">
        <v>7</v>
      </c>
      <c r="B7" s="429"/>
      <c r="C7" s="429"/>
      <c r="D7" s="429"/>
      <c r="E7" s="429"/>
      <c r="F7" s="429"/>
      <c r="G7" s="429"/>
      <c r="H7" s="429"/>
      <c r="I7" s="429"/>
      <c r="J7" s="429"/>
      <c r="K7" s="429"/>
      <c r="L7" s="429"/>
      <c r="M7" s="429"/>
      <c r="N7" s="12"/>
      <c r="O7" s="12"/>
      <c r="P7" s="12"/>
      <c r="Q7" s="12"/>
      <c r="R7" s="12"/>
      <c r="S7" s="12"/>
      <c r="T7" s="12"/>
      <c r="U7" s="12"/>
      <c r="V7" s="12"/>
      <c r="W7" s="12"/>
      <c r="X7" s="12"/>
    </row>
    <row r="8" spans="1:26" s="11" customFormat="1" ht="18.75" x14ac:dyDescent="0.2">
      <c r="A8" s="429"/>
      <c r="B8" s="429"/>
      <c r="C8" s="429"/>
      <c r="D8" s="429"/>
      <c r="E8" s="429"/>
      <c r="F8" s="429"/>
      <c r="G8" s="429"/>
      <c r="H8" s="429"/>
      <c r="I8" s="429"/>
      <c r="J8" s="429"/>
      <c r="K8" s="429"/>
      <c r="L8" s="429"/>
      <c r="M8" s="429"/>
      <c r="N8" s="12"/>
      <c r="O8" s="12"/>
      <c r="P8" s="12"/>
      <c r="Q8" s="12"/>
      <c r="R8" s="12"/>
      <c r="S8" s="12"/>
      <c r="T8" s="12"/>
      <c r="U8" s="12"/>
      <c r="V8" s="12"/>
      <c r="W8" s="12"/>
      <c r="X8" s="12"/>
    </row>
    <row r="9" spans="1:26" s="11" customFormat="1" ht="18.75" x14ac:dyDescent="0.2">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c r="M9" s="423"/>
      <c r="N9" s="12"/>
      <c r="O9" s="12"/>
      <c r="P9" s="12"/>
      <c r="Q9" s="12"/>
      <c r="R9" s="12"/>
      <c r="S9" s="12"/>
      <c r="T9" s="12"/>
      <c r="U9" s="12"/>
      <c r="V9" s="12"/>
      <c r="W9" s="12"/>
      <c r="X9" s="12"/>
    </row>
    <row r="10" spans="1:26" s="11" customFormat="1" ht="18.75" x14ac:dyDescent="0.2">
      <c r="A10" s="425" t="s">
        <v>6</v>
      </c>
      <c r="B10" s="425"/>
      <c r="C10" s="425"/>
      <c r="D10" s="425"/>
      <c r="E10" s="425"/>
      <c r="F10" s="425"/>
      <c r="G10" s="425"/>
      <c r="H10" s="425"/>
      <c r="I10" s="425"/>
      <c r="J10" s="425"/>
      <c r="K10" s="425"/>
      <c r="L10" s="425"/>
      <c r="M10" s="425"/>
      <c r="N10" s="12"/>
      <c r="O10" s="12"/>
      <c r="P10" s="12"/>
      <c r="Q10" s="12"/>
      <c r="R10" s="12"/>
      <c r="S10" s="12"/>
      <c r="T10" s="12"/>
      <c r="U10" s="12"/>
      <c r="V10" s="12"/>
      <c r="W10" s="12"/>
      <c r="X10" s="12"/>
    </row>
    <row r="11" spans="1:26" s="11" customFormat="1" ht="18.75" x14ac:dyDescent="0.2">
      <c r="A11" s="429"/>
      <c r="B11" s="429"/>
      <c r="C11" s="429"/>
      <c r="D11" s="429"/>
      <c r="E11" s="429"/>
      <c r="F11" s="429"/>
      <c r="G11" s="429"/>
      <c r="H11" s="429"/>
      <c r="I11" s="429"/>
      <c r="J11" s="429"/>
      <c r="K11" s="429"/>
      <c r="L11" s="429"/>
      <c r="M11" s="429"/>
      <c r="N11" s="12"/>
      <c r="O11" s="12"/>
      <c r="P11" s="12"/>
      <c r="Q11" s="12"/>
      <c r="R11" s="12"/>
      <c r="S11" s="12"/>
      <c r="T11" s="12"/>
      <c r="U11" s="12"/>
      <c r="V11" s="12"/>
      <c r="W11" s="12"/>
      <c r="X11" s="12"/>
    </row>
    <row r="12" spans="1:26" s="11" customFormat="1" ht="18.75" x14ac:dyDescent="0.2">
      <c r="A12" s="423" t="str">
        <f>'1. паспорт местоположение'!A12:C12</f>
        <v>I_17-1850</v>
      </c>
      <c r="B12" s="423"/>
      <c r="C12" s="423"/>
      <c r="D12" s="423"/>
      <c r="E12" s="423"/>
      <c r="F12" s="423"/>
      <c r="G12" s="423"/>
      <c r="H12" s="423"/>
      <c r="I12" s="423"/>
      <c r="J12" s="423"/>
      <c r="K12" s="423"/>
      <c r="L12" s="423"/>
      <c r="M12" s="423"/>
      <c r="N12" s="12"/>
      <c r="O12" s="12"/>
      <c r="P12" s="12"/>
      <c r="Q12" s="12"/>
      <c r="R12" s="12"/>
      <c r="S12" s="12"/>
      <c r="T12" s="12"/>
      <c r="U12" s="12"/>
      <c r="V12" s="12"/>
      <c r="W12" s="12"/>
      <c r="X12" s="12"/>
    </row>
    <row r="13" spans="1:26" s="11" customFormat="1" ht="18.75" x14ac:dyDescent="0.2">
      <c r="A13" s="425" t="s">
        <v>5</v>
      </c>
      <c r="B13" s="425"/>
      <c r="C13" s="425"/>
      <c r="D13" s="425"/>
      <c r="E13" s="425"/>
      <c r="F13" s="425"/>
      <c r="G13" s="425"/>
      <c r="H13" s="425"/>
      <c r="I13" s="425"/>
      <c r="J13" s="425"/>
      <c r="K13" s="425"/>
      <c r="L13" s="425"/>
      <c r="M13" s="425"/>
      <c r="N13" s="12"/>
      <c r="O13" s="12"/>
      <c r="P13" s="12"/>
      <c r="Q13" s="12"/>
      <c r="R13" s="12"/>
      <c r="S13" s="12"/>
      <c r="T13" s="12"/>
      <c r="U13" s="12"/>
      <c r="V13" s="12"/>
      <c r="W13" s="12"/>
      <c r="X13" s="12"/>
    </row>
    <row r="14" spans="1:26" s="8" customFormat="1" ht="15.75" customHeight="1" x14ac:dyDescent="0.2">
      <c r="A14" s="430"/>
      <c r="B14" s="430"/>
      <c r="C14" s="430"/>
      <c r="D14" s="430"/>
      <c r="E14" s="430"/>
      <c r="F14" s="430"/>
      <c r="G14" s="430"/>
      <c r="H14" s="430"/>
      <c r="I14" s="430"/>
      <c r="J14" s="430"/>
      <c r="K14" s="430"/>
      <c r="L14" s="430"/>
      <c r="M14" s="430"/>
      <c r="N14" s="9"/>
      <c r="O14" s="9"/>
      <c r="P14" s="9"/>
      <c r="Q14" s="9"/>
      <c r="R14" s="9"/>
      <c r="S14" s="9"/>
      <c r="T14" s="9"/>
      <c r="U14" s="9"/>
      <c r="V14" s="9"/>
      <c r="W14" s="9"/>
      <c r="X14" s="9"/>
    </row>
    <row r="15" spans="1:26" s="3" customFormat="1" ht="12" x14ac:dyDescent="0.2">
      <c r="A15" s="423" t="str">
        <f>'1. паспорт местоположение'!A15</f>
        <v>Строительство ТП 15/0,4 кВ, ЛЭП 15 кВ от ВЛ 15-06 (инв.5115422) п. Яблоневка Гурьевский ГО</v>
      </c>
      <c r="B15" s="423"/>
      <c r="C15" s="423"/>
      <c r="D15" s="423"/>
      <c r="E15" s="423"/>
      <c r="F15" s="423"/>
      <c r="G15" s="423"/>
      <c r="H15" s="423"/>
      <c r="I15" s="423"/>
      <c r="J15" s="423"/>
      <c r="K15" s="423"/>
      <c r="L15" s="423"/>
      <c r="M15" s="423"/>
      <c r="N15" s="7"/>
      <c r="O15" s="7"/>
      <c r="P15" s="7"/>
      <c r="Q15" s="7"/>
      <c r="R15" s="7"/>
      <c r="S15" s="7"/>
      <c r="T15" s="7"/>
      <c r="U15" s="7"/>
      <c r="V15" s="7"/>
      <c r="W15" s="7"/>
      <c r="X15" s="7"/>
    </row>
    <row r="16" spans="1:26" s="3" customFormat="1" ht="15" customHeight="1" x14ac:dyDescent="0.2">
      <c r="A16" s="425" t="s">
        <v>4</v>
      </c>
      <c r="B16" s="425"/>
      <c r="C16" s="425"/>
      <c r="D16" s="425"/>
      <c r="E16" s="425"/>
      <c r="F16" s="425"/>
      <c r="G16" s="425"/>
      <c r="H16" s="425"/>
      <c r="I16" s="425"/>
      <c r="J16" s="425"/>
      <c r="K16" s="425"/>
      <c r="L16" s="425"/>
      <c r="M16" s="425"/>
      <c r="N16" s="5"/>
      <c r="O16" s="5"/>
      <c r="P16" s="5"/>
      <c r="Q16" s="5"/>
      <c r="R16" s="5"/>
      <c r="S16" s="5"/>
      <c r="T16" s="5"/>
      <c r="U16" s="5"/>
      <c r="V16" s="5"/>
      <c r="W16" s="5"/>
      <c r="X16" s="5"/>
    </row>
    <row r="17" spans="1:24" s="3" customFormat="1" ht="15" customHeight="1" x14ac:dyDescent="0.2">
      <c r="A17" s="426"/>
      <c r="B17" s="426"/>
      <c r="C17" s="426"/>
      <c r="D17" s="426"/>
      <c r="E17" s="426"/>
      <c r="F17" s="426"/>
      <c r="G17" s="426"/>
      <c r="H17" s="426"/>
      <c r="I17" s="426"/>
      <c r="J17" s="426"/>
      <c r="K17" s="426"/>
      <c r="L17" s="426"/>
      <c r="M17" s="426"/>
      <c r="N17" s="4"/>
      <c r="O17" s="4"/>
      <c r="P17" s="4"/>
      <c r="Q17" s="4"/>
      <c r="R17" s="4"/>
      <c r="S17" s="4"/>
      <c r="T17" s="4"/>
      <c r="U17" s="4"/>
    </row>
    <row r="18" spans="1:24" s="3" customFormat="1" ht="91.5" customHeight="1" x14ac:dyDescent="0.2">
      <c r="A18" s="466" t="s">
        <v>493</v>
      </c>
      <c r="B18" s="466"/>
      <c r="C18" s="466"/>
      <c r="D18" s="466"/>
      <c r="E18" s="466"/>
      <c r="F18" s="466"/>
      <c r="G18" s="466"/>
      <c r="H18" s="466"/>
      <c r="I18" s="466"/>
      <c r="J18" s="466"/>
      <c r="K18" s="466"/>
      <c r="L18" s="466"/>
      <c r="M18" s="466"/>
      <c r="N18" s="6"/>
      <c r="O18" s="6"/>
      <c r="P18" s="6"/>
      <c r="Q18" s="6"/>
      <c r="R18" s="6"/>
      <c r="S18" s="6"/>
      <c r="T18" s="6"/>
      <c r="U18" s="6"/>
      <c r="V18" s="6"/>
      <c r="W18" s="6"/>
      <c r="X18" s="6"/>
    </row>
    <row r="19" spans="1:24" s="3" customFormat="1" ht="78" customHeight="1" x14ac:dyDescent="0.2">
      <c r="A19" s="431" t="s">
        <v>3</v>
      </c>
      <c r="B19" s="431" t="s">
        <v>82</v>
      </c>
      <c r="C19" s="431" t="s">
        <v>81</v>
      </c>
      <c r="D19" s="431" t="s">
        <v>73</v>
      </c>
      <c r="E19" s="467" t="s">
        <v>80</v>
      </c>
      <c r="F19" s="468"/>
      <c r="G19" s="468"/>
      <c r="H19" s="468"/>
      <c r="I19" s="469"/>
      <c r="J19" s="431" t="s">
        <v>79</v>
      </c>
      <c r="K19" s="431"/>
      <c r="L19" s="431"/>
      <c r="M19" s="431"/>
      <c r="N19" s="4"/>
      <c r="O19" s="4"/>
      <c r="P19" s="4"/>
      <c r="Q19" s="4"/>
      <c r="R19" s="4"/>
      <c r="S19" s="4"/>
      <c r="T19" s="4"/>
      <c r="U19" s="4"/>
    </row>
    <row r="20" spans="1:24" s="3" customFormat="1" ht="51" customHeight="1" x14ac:dyDescent="0.2">
      <c r="A20" s="431"/>
      <c r="B20" s="431"/>
      <c r="C20" s="431"/>
      <c r="D20" s="431"/>
      <c r="E20" s="40" t="s">
        <v>78</v>
      </c>
      <c r="F20" s="40" t="s">
        <v>77</v>
      </c>
      <c r="G20" s="40" t="s">
        <v>76</v>
      </c>
      <c r="H20" s="40" t="s">
        <v>75</v>
      </c>
      <c r="I20" s="40" t="s">
        <v>74</v>
      </c>
      <c r="J20" s="40">
        <v>2020</v>
      </c>
      <c r="K20" s="338">
        <v>2021</v>
      </c>
      <c r="L20" s="407">
        <v>2022</v>
      </c>
      <c r="M20" s="40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728</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46" width="16.85546875" style="172" hidden="1" customWidth="1"/>
    <col min="47"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3"/>
      <c r="AR2" s="173"/>
    </row>
    <row r="3" spans="1:44" ht="18.75" x14ac:dyDescent="0.3">
      <c r="A3" s="16"/>
      <c r="B3" s="11"/>
      <c r="C3" s="11"/>
      <c r="D3" s="11"/>
      <c r="E3" s="172"/>
      <c r="F3" s="17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3"/>
      <c r="AR3" s="17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4"/>
      <c r="AR4" s="174"/>
    </row>
    <row r="5" spans="1:44" x14ac:dyDescent="0.2">
      <c r="A5" s="475" t="str">
        <f>'1. паспорт местоположение'!A5:C5</f>
        <v>Год раскрытия информации: 2022 год</v>
      </c>
      <c r="B5" s="475"/>
      <c r="C5" s="475"/>
      <c r="D5" s="475"/>
      <c r="E5" s="475"/>
      <c r="F5" s="475"/>
      <c r="G5" s="475"/>
      <c r="H5" s="4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4"/>
      <c r="AR6" s="174"/>
    </row>
    <row r="7" spans="1:44" ht="18.75" x14ac:dyDescent="0.2">
      <c r="A7" s="429" t="s">
        <v>7</v>
      </c>
      <c r="B7" s="429"/>
      <c r="C7" s="429"/>
      <c r="D7" s="429"/>
      <c r="E7" s="429"/>
      <c r="F7" s="429"/>
      <c r="G7" s="429"/>
      <c r="H7" s="42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7"/>
      <c r="AR7" s="177"/>
    </row>
    <row r="8" spans="1:44" ht="18.75" x14ac:dyDescent="0.2">
      <c r="A8" s="348"/>
      <c r="B8" s="348"/>
      <c r="C8" s="348"/>
      <c r="D8" s="348"/>
      <c r="E8" s="348"/>
      <c r="F8" s="348"/>
      <c r="G8" s="348"/>
      <c r="H8" s="348"/>
      <c r="I8" s="348"/>
      <c r="J8" s="348"/>
      <c r="K8" s="348"/>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4"/>
      <c r="AR8" s="174"/>
    </row>
    <row r="9" spans="1:44" x14ac:dyDescent="0.2">
      <c r="A9" s="476" t="str">
        <f>'1. паспорт местоположение'!A9:C9</f>
        <v>Акционерное общество "Янтарьэнерго" ДЗО  ПАО "Россети"</v>
      </c>
      <c r="B9" s="476"/>
      <c r="C9" s="476"/>
      <c r="D9" s="476"/>
      <c r="E9" s="476"/>
      <c r="F9" s="476"/>
      <c r="G9" s="476"/>
      <c r="H9" s="476"/>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25" t="s">
        <v>6</v>
      </c>
      <c r="B10" s="425"/>
      <c r="C10" s="425"/>
      <c r="D10" s="425"/>
      <c r="E10" s="425"/>
      <c r="F10" s="425"/>
      <c r="G10" s="425"/>
      <c r="H10" s="42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9"/>
      <c r="AR10" s="179"/>
    </row>
    <row r="11" spans="1:44" ht="18.75" x14ac:dyDescent="0.2">
      <c r="A11" s="348"/>
      <c r="B11" s="348"/>
      <c r="C11" s="348"/>
      <c r="D11" s="348"/>
      <c r="E11" s="348"/>
      <c r="F11" s="348"/>
      <c r="G11" s="348"/>
      <c r="H11" s="348"/>
      <c r="I11" s="348"/>
      <c r="J11" s="348"/>
      <c r="K11" s="348"/>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4"/>
      <c r="AR11" s="174"/>
    </row>
    <row r="12" spans="1:44" x14ac:dyDescent="0.2">
      <c r="A12" s="476" t="str">
        <f>'1. паспорт местоположение'!A12:C12</f>
        <v>I_17-1850</v>
      </c>
      <c r="B12" s="476"/>
      <c r="C12" s="476"/>
      <c r="D12" s="476"/>
      <c r="E12" s="476"/>
      <c r="F12" s="476"/>
      <c r="G12" s="476"/>
      <c r="H12" s="476"/>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25" t="s">
        <v>5</v>
      </c>
      <c r="B13" s="425"/>
      <c r="C13" s="425"/>
      <c r="D13" s="425"/>
      <c r="E13" s="425"/>
      <c r="F13" s="425"/>
      <c r="G13" s="425"/>
      <c r="H13" s="42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9"/>
      <c r="AR13" s="179"/>
    </row>
    <row r="14" spans="1:44" ht="18.75"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8"/>
      <c r="AA14" s="8"/>
      <c r="AB14" s="8"/>
      <c r="AC14" s="8"/>
      <c r="AD14" s="8"/>
      <c r="AE14" s="8"/>
      <c r="AF14" s="8"/>
      <c r="AG14" s="8"/>
      <c r="AH14" s="8"/>
      <c r="AI14" s="8"/>
      <c r="AJ14" s="8"/>
      <c r="AK14" s="8"/>
      <c r="AL14" s="8"/>
      <c r="AM14" s="8"/>
      <c r="AN14" s="8"/>
      <c r="AO14" s="8"/>
      <c r="AP14" s="8"/>
      <c r="AQ14" s="180"/>
      <c r="AR14" s="180"/>
    </row>
    <row r="15" spans="1:44" x14ac:dyDescent="0.2">
      <c r="A15" s="476" t="str">
        <f>'1. паспорт местоположение'!A15:C15</f>
        <v>Строительство ТП 15/0,4 кВ, ЛЭП 15 кВ от ВЛ 15-06 (инв.5115422) п. Яблоневка Гурьевский ГО</v>
      </c>
      <c r="B15" s="476"/>
      <c r="C15" s="476"/>
      <c r="D15" s="476"/>
      <c r="E15" s="476"/>
      <c r="F15" s="476"/>
      <c r="G15" s="476"/>
      <c r="H15" s="476"/>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25" t="s">
        <v>4</v>
      </c>
      <c r="B16" s="425"/>
      <c r="C16" s="425"/>
      <c r="D16" s="425"/>
      <c r="E16" s="425"/>
      <c r="F16" s="425"/>
      <c r="G16" s="425"/>
      <c r="H16" s="42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9"/>
      <c r="AR16" s="179"/>
    </row>
    <row r="17" spans="1:44" ht="18.75" x14ac:dyDescent="0.2">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38" t="s">
        <v>494</v>
      </c>
      <c r="B18" s="438"/>
      <c r="C18" s="438"/>
      <c r="D18" s="438"/>
      <c r="E18" s="438"/>
      <c r="F18" s="438"/>
      <c r="G18" s="438"/>
      <c r="H18" s="43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344</v>
      </c>
      <c r="B24" s="188" t="s">
        <v>1</v>
      </c>
      <c r="D24" s="189"/>
      <c r="E24" s="190"/>
      <c r="F24" s="190"/>
      <c r="G24" s="190"/>
      <c r="H24" s="190"/>
    </row>
    <row r="25" spans="1:44" x14ac:dyDescent="0.2">
      <c r="A25" s="191" t="s">
        <v>533</v>
      </c>
      <c r="B25" s="192">
        <f>$B$126/1.2</f>
        <v>1653100</v>
      </c>
    </row>
    <row r="26" spans="1:44" x14ac:dyDescent="0.2">
      <c r="A26" s="193" t="s">
        <v>342</v>
      </c>
      <c r="B26" s="316">
        <v>0</v>
      </c>
    </row>
    <row r="27" spans="1:44" x14ac:dyDescent="0.2">
      <c r="A27" s="193" t="s">
        <v>340</v>
      </c>
      <c r="B27" s="316">
        <f>$B$123</f>
        <v>30</v>
      </c>
      <c r="D27" s="186" t="s">
        <v>343</v>
      </c>
    </row>
    <row r="28" spans="1:44" ht="16.149999999999999" customHeight="1" thickBot="1" x14ac:dyDescent="0.25">
      <c r="A28" s="194" t="s">
        <v>338</v>
      </c>
      <c r="B28" s="195">
        <v>1</v>
      </c>
      <c r="D28" s="470" t="s">
        <v>341</v>
      </c>
      <c r="E28" s="471"/>
      <c r="F28" s="472"/>
      <c r="G28" s="473">
        <f>IF(SUM(B89:L89)=0,"не окупается",SUM(B89:L89))</f>
        <v>1.9154564186628276</v>
      </c>
      <c r="H28" s="474"/>
    </row>
    <row r="29" spans="1:44" ht="15.6" customHeight="1" x14ac:dyDescent="0.2">
      <c r="A29" s="191" t="s">
        <v>336</v>
      </c>
      <c r="B29" s="192">
        <f>$B$126*$B$127</f>
        <v>19837.2</v>
      </c>
      <c r="D29" s="470" t="s">
        <v>339</v>
      </c>
      <c r="E29" s="471"/>
      <c r="F29" s="472"/>
      <c r="G29" s="473">
        <f>IF(SUM(B90:L90)=0,"не окупается",SUM(B90:L90))</f>
        <v>2.0593184307466914</v>
      </c>
      <c r="H29" s="474"/>
    </row>
    <row r="30" spans="1:44" ht="27.6" customHeight="1" x14ac:dyDescent="0.2">
      <c r="A30" s="193" t="s">
        <v>534</v>
      </c>
      <c r="B30" s="316">
        <v>1</v>
      </c>
      <c r="D30" s="470" t="s">
        <v>337</v>
      </c>
      <c r="E30" s="471"/>
      <c r="F30" s="472"/>
      <c r="G30" s="479">
        <f>L87</f>
        <v>3594370.1747506503</v>
      </c>
      <c r="H30" s="480"/>
    </row>
    <row r="31" spans="1:44" x14ac:dyDescent="0.2">
      <c r="A31" s="193" t="s">
        <v>335</v>
      </c>
      <c r="B31" s="316">
        <v>1</v>
      </c>
      <c r="D31" s="481"/>
      <c r="E31" s="482"/>
      <c r="F31" s="483"/>
      <c r="G31" s="481"/>
      <c r="H31" s="483"/>
    </row>
    <row r="32" spans="1:44" x14ac:dyDescent="0.2">
      <c r="A32" s="193" t="s">
        <v>313</v>
      </c>
      <c r="B32" s="316"/>
    </row>
    <row r="33" spans="1:42" x14ac:dyDescent="0.2">
      <c r="A33" s="193" t="s">
        <v>334</v>
      </c>
      <c r="B33" s="316"/>
    </row>
    <row r="34" spans="1:42" x14ac:dyDescent="0.2">
      <c r="A34" s="193" t="s">
        <v>333</v>
      </c>
      <c r="B34" s="316"/>
    </row>
    <row r="35" spans="1:42" x14ac:dyDescent="0.2">
      <c r="A35" s="317"/>
      <c r="B35" s="316"/>
    </row>
    <row r="36" spans="1:42" ht="16.5" thickBot="1" x14ac:dyDescent="0.25">
      <c r="A36" s="194" t="s">
        <v>305</v>
      </c>
      <c r="B36" s="196">
        <v>0.2</v>
      </c>
    </row>
    <row r="37" spans="1:42" x14ac:dyDescent="0.2">
      <c r="A37" s="191" t="s">
        <v>535</v>
      </c>
      <c r="B37" s="192">
        <v>0</v>
      </c>
    </row>
    <row r="38" spans="1:42" x14ac:dyDescent="0.2">
      <c r="A38" s="193" t="s">
        <v>332</v>
      </c>
      <c r="B38" s="316"/>
    </row>
    <row r="39" spans="1:42" ht="16.5" thickBot="1" x14ac:dyDescent="0.25">
      <c r="A39" s="318" t="s">
        <v>331</v>
      </c>
      <c r="B39" s="319"/>
    </row>
    <row r="40" spans="1:42" x14ac:dyDescent="0.2">
      <c r="A40" s="197" t="s">
        <v>536</v>
      </c>
      <c r="B40" s="198">
        <v>1</v>
      </c>
    </row>
    <row r="41" spans="1:42" x14ac:dyDescent="0.2">
      <c r="A41" s="199" t="s">
        <v>330</v>
      </c>
      <c r="B41" s="200"/>
    </row>
    <row r="42" spans="1:42" x14ac:dyDescent="0.2">
      <c r="A42" s="199" t="s">
        <v>329</v>
      </c>
      <c r="B42" s="201"/>
    </row>
    <row r="43" spans="1:42" x14ac:dyDescent="0.2">
      <c r="A43" s="199" t="s">
        <v>328</v>
      </c>
      <c r="B43" s="201">
        <v>0</v>
      </c>
    </row>
    <row r="44" spans="1:42" x14ac:dyDescent="0.2">
      <c r="A44" s="199" t="s">
        <v>327</v>
      </c>
      <c r="B44" s="201">
        <f>B129</f>
        <v>0.20499999999999999</v>
      </c>
    </row>
    <row r="45" spans="1:42" x14ac:dyDescent="0.2">
      <c r="A45" s="199" t="s">
        <v>326</v>
      </c>
      <c r="B45" s="201">
        <f>1-B43</f>
        <v>1</v>
      </c>
    </row>
    <row r="46" spans="1:42" ht="16.5" thickBot="1" x14ac:dyDescent="0.25">
      <c r="A46" s="320" t="s">
        <v>325</v>
      </c>
      <c r="B46" s="321">
        <f>B45*B44+B43*B42*(1-B36)</f>
        <v>0.20499999999999999</v>
      </c>
      <c r="C46" s="202"/>
    </row>
    <row r="47" spans="1:42" s="205" customFormat="1" x14ac:dyDescent="0.2">
      <c r="A47" s="203" t="s">
        <v>324</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323</v>
      </c>
      <c r="B48" s="351">
        <f>E136</f>
        <v>4.3999999999999997E-2</v>
      </c>
      <c r="C48" s="351">
        <f t="shared" ref="C48:R49" si="1">F136</f>
        <v>4.2000000000000003E-2</v>
      </c>
      <c r="D48" s="351">
        <f t="shared" si="1"/>
        <v>4.2000000000000003E-2</v>
      </c>
      <c r="E48" s="351">
        <f t="shared" si="1"/>
        <v>4.2000000000000003E-2</v>
      </c>
      <c r="F48" s="351">
        <f t="shared" si="1"/>
        <v>4.2000000000000003E-2</v>
      </c>
      <c r="G48" s="351">
        <f t="shared" si="1"/>
        <v>4.2000000000000003E-2</v>
      </c>
      <c r="H48" s="351">
        <f t="shared" si="1"/>
        <v>4.2000000000000003E-2</v>
      </c>
      <c r="I48" s="351">
        <f t="shared" si="1"/>
        <v>4.2000000000000003E-2</v>
      </c>
      <c r="J48" s="351">
        <f t="shared" si="1"/>
        <v>4.2000000000000003E-2</v>
      </c>
      <c r="K48" s="351">
        <f t="shared" si="1"/>
        <v>4.2000000000000003E-2</v>
      </c>
      <c r="L48" s="351">
        <f t="shared" si="1"/>
        <v>4.2000000000000003E-2</v>
      </c>
      <c r="M48" s="351">
        <f t="shared" si="1"/>
        <v>4.2000000000000003E-2</v>
      </c>
      <c r="N48" s="351">
        <f t="shared" si="1"/>
        <v>4.2000000000000003E-2</v>
      </c>
      <c r="O48" s="351">
        <f t="shared" si="1"/>
        <v>4.2000000000000003E-2</v>
      </c>
      <c r="P48" s="351">
        <f t="shared" si="1"/>
        <v>4.2000000000000003E-2</v>
      </c>
      <c r="Q48" s="351">
        <f t="shared" si="1"/>
        <v>4.2000000000000003E-2</v>
      </c>
      <c r="R48" s="351">
        <f t="shared" si="1"/>
        <v>4.2000000000000003E-2</v>
      </c>
      <c r="S48" s="351">
        <f t="shared" ref="S48:AH49" si="2">V136</f>
        <v>4.2000000000000003E-2</v>
      </c>
      <c r="T48" s="351">
        <f t="shared" si="2"/>
        <v>4.2000000000000003E-2</v>
      </c>
      <c r="U48" s="351">
        <f t="shared" si="2"/>
        <v>4.2000000000000003E-2</v>
      </c>
      <c r="V48" s="351">
        <f t="shared" si="2"/>
        <v>4.2000000000000003E-2</v>
      </c>
      <c r="W48" s="351">
        <f t="shared" si="2"/>
        <v>4.2000000000000003E-2</v>
      </c>
      <c r="X48" s="351">
        <f t="shared" si="2"/>
        <v>4.2000000000000003E-2</v>
      </c>
      <c r="Y48" s="351">
        <f t="shared" si="2"/>
        <v>4.2000000000000003E-2</v>
      </c>
      <c r="Z48" s="351">
        <f t="shared" si="2"/>
        <v>4.2000000000000003E-2</v>
      </c>
      <c r="AA48" s="351">
        <f t="shared" si="2"/>
        <v>4.2000000000000003E-2</v>
      </c>
      <c r="AB48" s="351">
        <f t="shared" si="2"/>
        <v>4.2000000000000003E-2</v>
      </c>
      <c r="AC48" s="351">
        <f t="shared" si="2"/>
        <v>4.2000000000000003E-2</v>
      </c>
      <c r="AD48" s="351">
        <f t="shared" si="2"/>
        <v>4.2000000000000003E-2</v>
      </c>
      <c r="AE48" s="351">
        <f t="shared" si="2"/>
        <v>4.2000000000000003E-2</v>
      </c>
      <c r="AF48" s="351">
        <f t="shared" si="2"/>
        <v>4.2000000000000003E-2</v>
      </c>
      <c r="AG48" s="351">
        <f t="shared" si="2"/>
        <v>4.2000000000000003E-2</v>
      </c>
      <c r="AH48" s="351">
        <f t="shared" si="2"/>
        <v>4.2000000000000003E-2</v>
      </c>
      <c r="AI48" s="351">
        <f t="shared" ref="AI48:AP49" si="3">AL136</f>
        <v>4.2000000000000003E-2</v>
      </c>
      <c r="AJ48" s="351">
        <f t="shared" si="3"/>
        <v>4.2000000000000003E-2</v>
      </c>
      <c r="AK48" s="351">
        <f t="shared" si="3"/>
        <v>4.2000000000000003E-2</v>
      </c>
      <c r="AL48" s="351">
        <f t="shared" si="3"/>
        <v>4.2000000000000003E-2</v>
      </c>
      <c r="AM48" s="351">
        <f t="shared" si="3"/>
        <v>4.2000000000000003E-2</v>
      </c>
      <c r="AN48" s="351">
        <f t="shared" si="3"/>
        <v>4.2000000000000003E-2</v>
      </c>
      <c r="AO48" s="351">
        <f t="shared" si="3"/>
        <v>4.2000000000000003E-2</v>
      </c>
      <c r="AP48" s="351">
        <f t="shared" si="3"/>
        <v>4.2000000000000003E-2</v>
      </c>
    </row>
    <row r="49" spans="1:45" s="205" customFormat="1" x14ac:dyDescent="0.2">
      <c r="A49" s="206" t="s">
        <v>322</v>
      </c>
      <c r="B49" s="351">
        <f>E137</f>
        <v>9.2024000000000106E-2</v>
      </c>
      <c r="C49" s="351">
        <f t="shared" si="1"/>
        <v>0.13788900800000015</v>
      </c>
      <c r="D49" s="351">
        <f t="shared" si="1"/>
        <v>0.18568034633600017</v>
      </c>
      <c r="E49" s="351">
        <f t="shared" si="1"/>
        <v>0.2354789208821122</v>
      </c>
      <c r="F49" s="351">
        <f t="shared" si="1"/>
        <v>0.28736903555916093</v>
      </c>
      <c r="G49" s="351">
        <f t="shared" si="1"/>
        <v>0.34143853505264565</v>
      </c>
      <c r="H49" s="351">
        <f t="shared" si="1"/>
        <v>0.39777895352485682</v>
      </c>
      <c r="I49" s="351">
        <f t="shared" si="1"/>
        <v>0.45648566957290093</v>
      </c>
      <c r="J49" s="351">
        <f t="shared" si="1"/>
        <v>0.51765806769496292</v>
      </c>
      <c r="K49" s="351">
        <f t="shared" si="1"/>
        <v>0.58139970653815132</v>
      </c>
      <c r="L49" s="351">
        <f t="shared" si="1"/>
        <v>0.64781849421275384</v>
      </c>
      <c r="M49" s="351">
        <f t="shared" si="1"/>
        <v>0.71702687096968964</v>
      </c>
      <c r="N49" s="351">
        <f t="shared" si="1"/>
        <v>0.78914199955041675</v>
      </c>
      <c r="O49" s="351">
        <f t="shared" si="1"/>
        <v>0.86428596353153431</v>
      </c>
      <c r="P49" s="351">
        <f t="shared" si="1"/>
        <v>0.94258597399985877</v>
      </c>
      <c r="Q49" s="351">
        <f t="shared" si="1"/>
        <v>1.0241745849078527</v>
      </c>
      <c r="R49" s="351">
        <f t="shared" si="1"/>
        <v>1.1091899174739828</v>
      </c>
      <c r="S49" s="351">
        <f t="shared" si="2"/>
        <v>1.19777589400789</v>
      </c>
      <c r="T49" s="351">
        <f t="shared" si="2"/>
        <v>1.2900824815562215</v>
      </c>
      <c r="U49" s="351">
        <f t="shared" si="2"/>
        <v>1.3862659457815827</v>
      </c>
      <c r="V49" s="351">
        <f t="shared" si="2"/>
        <v>1.4864891155044093</v>
      </c>
      <c r="W49" s="351">
        <f t="shared" si="2"/>
        <v>1.5909216583555947</v>
      </c>
      <c r="X49" s="351">
        <f t="shared" si="2"/>
        <v>1.6997403680065299</v>
      </c>
      <c r="Y49" s="351">
        <f t="shared" si="2"/>
        <v>1.8131294634628041</v>
      </c>
      <c r="Z49" s="351">
        <f t="shared" si="2"/>
        <v>1.9312809009282419</v>
      </c>
      <c r="AA49" s="351">
        <f t="shared" si="2"/>
        <v>2.0543946987672284</v>
      </c>
      <c r="AB49" s="351">
        <f t="shared" si="2"/>
        <v>2.1826792761154521</v>
      </c>
      <c r="AC49" s="351">
        <f t="shared" si="2"/>
        <v>2.3163518057123014</v>
      </c>
      <c r="AD49" s="351">
        <f t="shared" si="2"/>
        <v>2.4556385815522184</v>
      </c>
      <c r="AE49" s="351">
        <f t="shared" si="2"/>
        <v>2.6007754019774119</v>
      </c>
      <c r="AF49" s="351">
        <f t="shared" si="2"/>
        <v>2.7520079688604633</v>
      </c>
      <c r="AG49" s="351">
        <f t="shared" si="2"/>
        <v>2.909592303552603</v>
      </c>
      <c r="AH49" s="351">
        <f t="shared" si="2"/>
        <v>3.0737951803018122</v>
      </c>
      <c r="AI49" s="351">
        <f t="shared" si="3"/>
        <v>3.2448945778744882</v>
      </c>
      <c r="AJ49" s="351">
        <f t="shared" si="3"/>
        <v>3.4231801501452166</v>
      </c>
      <c r="AK49" s="351">
        <f t="shared" si="3"/>
        <v>3.6089537164513157</v>
      </c>
      <c r="AL49" s="351">
        <f t="shared" si="3"/>
        <v>3.8025297725422709</v>
      </c>
      <c r="AM49" s="351">
        <f t="shared" si="3"/>
        <v>4.0042360229890468</v>
      </c>
      <c r="AN49" s="351">
        <f t="shared" si="3"/>
        <v>4.2144139359545871</v>
      </c>
      <c r="AO49" s="351">
        <f t="shared" si="3"/>
        <v>4.4334193212646804</v>
      </c>
      <c r="AP49" s="351">
        <f t="shared" si="3"/>
        <v>4.6616229327577976</v>
      </c>
    </row>
    <row r="50" spans="1:45" s="205" customFormat="1" ht="16.5" thickBot="1" x14ac:dyDescent="0.25">
      <c r="A50" s="207" t="s">
        <v>537</v>
      </c>
      <c r="B50" s="208">
        <f>IF($B$124="да",($B$126-0.05),0)</f>
        <v>1983719.95</v>
      </c>
      <c r="C50" s="208">
        <f>C108*(1+C49)</f>
        <v>548046.87947544944</v>
      </c>
      <c r="D50" s="208">
        <f t="shared" ref="D50:AP50" si="4">D108*(1+D49)</f>
        <v>1142129.6968268366</v>
      </c>
      <c r="E50" s="208">
        <f t="shared" si="4"/>
        <v>1803180.5213538848</v>
      </c>
      <c r="F50" s="208">
        <f t="shared" si="4"/>
        <v>1878914.103250748</v>
      </c>
      <c r="G50" s="208">
        <f t="shared" si="4"/>
        <v>1957828.4955872793</v>
      </c>
      <c r="H50" s="208">
        <f t="shared" si="4"/>
        <v>2040057.292401945</v>
      </c>
      <c r="I50" s="208">
        <f t="shared" si="4"/>
        <v>2125739.6986828269</v>
      </c>
      <c r="J50" s="208">
        <f t="shared" si="4"/>
        <v>2215020.766027506</v>
      </c>
      <c r="K50" s="208">
        <f t="shared" si="4"/>
        <v>2308051.6382006612</v>
      </c>
      <c r="L50" s="208">
        <f t="shared" si="4"/>
        <v>2404989.8070050892</v>
      </c>
      <c r="M50" s="208">
        <f t="shared" si="4"/>
        <v>2505999.3788993028</v>
      </c>
      <c r="N50" s="208">
        <f t="shared" si="4"/>
        <v>2611251.3528130739</v>
      </c>
      <c r="O50" s="208">
        <f t="shared" si="4"/>
        <v>2720923.909631223</v>
      </c>
      <c r="P50" s="208">
        <f t="shared" si="4"/>
        <v>2835202.7138357344</v>
      </c>
      <c r="Q50" s="208">
        <f t="shared" si="4"/>
        <v>2954281.227816835</v>
      </c>
      <c r="R50" s="208">
        <f t="shared" si="4"/>
        <v>3078361.0393851427</v>
      </c>
      <c r="S50" s="208">
        <f t="shared" si="4"/>
        <v>3207652.2030393183</v>
      </c>
      <c r="T50" s="208">
        <f t="shared" si="4"/>
        <v>3342373.5955669703</v>
      </c>
      <c r="U50" s="208">
        <f t="shared" si="4"/>
        <v>3482753.2865807828</v>
      </c>
      <c r="V50" s="208">
        <f t="shared" si="4"/>
        <v>3629028.9246171759</v>
      </c>
      <c r="W50" s="208">
        <f t="shared" si="4"/>
        <v>3781448.1394510977</v>
      </c>
      <c r="X50" s="208">
        <f t="shared" si="4"/>
        <v>3940268.9613080439</v>
      </c>
      <c r="Y50" s="208">
        <f t="shared" si="4"/>
        <v>4105760.2576829819</v>
      </c>
      <c r="Z50" s="208">
        <f t="shared" si="4"/>
        <v>4278202.1885056673</v>
      </c>
      <c r="AA50" s="208">
        <f t="shared" si="4"/>
        <v>4457886.6804229058</v>
      </c>
      <c r="AB50" s="208">
        <f t="shared" si="4"/>
        <v>4645117.9210006678</v>
      </c>
      <c r="AC50" s="208">
        <f t="shared" si="4"/>
        <v>4840212.8736826964</v>
      </c>
      <c r="AD50" s="208">
        <f t="shared" si="4"/>
        <v>5043501.8143773694</v>
      </c>
      <c r="AE50" s="208">
        <f t="shared" si="4"/>
        <v>5255328.8905812195</v>
      </c>
      <c r="AF50" s="208">
        <f t="shared" si="4"/>
        <v>5476052.7039856315</v>
      </c>
      <c r="AG50" s="208">
        <f t="shared" si="4"/>
        <v>5706046.9175530281</v>
      </c>
      <c r="AH50" s="208">
        <f t="shared" si="4"/>
        <v>5945700.8880902547</v>
      </c>
      <c r="AI50" s="208">
        <f t="shared" si="4"/>
        <v>6195420.3253900455</v>
      </c>
      <c r="AJ50" s="208">
        <f t="shared" si="4"/>
        <v>6455627.9790564273</v>
      </c>
      <c r="AK50" s="208">
        <f t="shared" si="4"/>
        <v>6726764.354176797</v>
      </c>
      <c r="AL50" s="208">
        <f t="shared" si="4"/>
        <v>7009288.4570522225</v>
      </c>
      <c r="AM50" s="208">
        <f t="shared" si="4"/>
        <v>7303678.572248417</v>
      </c>
      <c r="AN50" s="208">
        <f t="shared" si="4"/>
        <v>7610433.0722828507</v>
      </c>
      <c r="AO50" s="208">
        <f t="shared" si="4"/>
        <v>7930071.2613187321</v>
      </c>
      <c r="AP50" s="208">
        <f t="shared" si="4"/>
        <v>8263134.2542941188</v>
      </c>
    </row>
    <row r="51" spans="1:45" ht="16.5" thickBot="1" x14ac:dyDescent="0.25"/>
    <row r="52" spans="1:45" x14ac:dyDescent="0.2">
      <c r="A52" s="209" t="s">
        <v>321</v>
      </c>
      <c r="B52" s="210">
        <f>B58</f>
        <v>1</v>
      </c>
      <c r="C52" s="210">
        <f t="shared" ref="C52:AO52" si="5">C58</f>
        <v>2</v>
      </c>
      <c r="D52" s="210">
        <f t="shared" si="5"/>
        <v>3</v>
      </c>
      <c r="E52" s="210">
        <f t="shared" si="5"/>
        <v>4</v>
      </c>
      <c r="F52" s="210">
        <f t="shared" si="5"/>
        <v>5</v>
      </c>
      <c r="G52" s="210">
        <f t="shared" si="5"/>
        <v>6</v>
      </c>
      <c r="H52" s="210">
        <f t="shared" si="5"/>
        <v>7</v>
      </c>
      <c r="I52" s="210">
        <f t="shared" si="5"/>
        <v>8</v>
      </c>
      <c r="J52" s="210">
        <f t="shared" si="5"/>
        <v>9</v>
      </c>
      <c r="K52" s="210">
        <f t="shared" si="5"/>
        <v>10</v>
      </c>
      <c r="L52" s="210">
        <f t="shared" si="5"/>
        <v>11</v>
      </c>
      <c r="M52" s="210">
        <f t="shared" si="5"/>
        <v>12</v>
      </c>
      <c r="N52" s="210">
        <f t="shared" si="5"/>
        <v>13</v>
      </c>
      <c r="O52" s="210">
        <f t="shared" si="5"/>
        <v>14</v>
      </c>
      <c r="P52" s="210">
        <f t="shared" si="5"/>
        <v>15</v>
      </c>
      <c r="Q52" s="210">
        <f t="shared" si="5"/>
        <v>16</v>
      </c>
      <c r="R52" s="210">
        <f t="shared" si="5"/>
        <v>17</v>
      </c>
      <c r="S52" s="210">
        <f t="shared" si="5"/>
        <v>18</v>
      </c>
      <c r="T52" s="210">
        <f t="shared" si="5"/>
        <v>19</v>
      </c>
      <c r="U52" s="210">
        <f t="shared" si="5"/>
        <v>20</v>
      </c>
      <c r="V52" s="210">
        <f t="shared" si="5"/>
        <v>21</v>
      </c>
      <c r="W52" s="210">
        <f t="shared" si="5"/>
        <v>22</v>
      </c>
      <c r="X52" s="210">
        <f t="shared" si="5"/>
        <v>23</v>
      </c>
      <c r="Y52" s="210">
        <f t="shared" si="5"/>
        <v>24</v>
      </c>
      <c r="Z52" s="210">
        <f t="shared" si="5"/>
        <v>25</v>
      </c>
      <c r="AA52" s="210">
        <f t="shared" si="5"/>
        <v>26</v>
      </c>
      <c r="AB52" s="210">
        <f t="shared" si="5"/>
        <v>27</v>
      </c>
      <c r="AC52" s="210">
        <f t="shared" si="5"/>
        <v>28</v>
      </c>
      <c r="AD52" s="210">
        <f t="shared" si="5"/>
        <v>29</v>
      </c>
      <c r="AE52" s="210">
        <f t="shared" si="5"/>
        <v>30</v>
      </c>
      <c r="AF52" s="210">
        <f t="shared" si="5"/>
        <v>31</v>
      </c>
      <c r="AG52" s="210">
        <f t="shared" si="5"/>
        <v>32</v>
      </c>
      <c r="AH52" s="210">
        <f t="shared" si="5"/>
        <v>33</v>
      </c>
      <c r="AI52" s="210">
        <f t="shared" si="5"/>
        <v>34</v>
      </c>
      <c r="AJ52" s="210">
        <f t="shared" si="5"/>
        <v>35</v>
      </c>
      <c r="AK52" s="210">
        <f t="shared" si="5"/>
        <v>36</v>
      </c>
      <c r="AL52" s="210">
        <f t="shared" si="5"/>
        <v>37</v>
      </c>
      <c r="AM52" s="210">
        <f t="shared" si="5"/>
        <v>38</v>
      </c>
      <c r="AN52" s="210">
        <f t="shared" si="5"/>
        <v>39</v>
      </c>
      <c r="AO52" s="210">
        <f t="shared" si="5"/>
        <v>40</v>
      </c>
      <c r="AP52" s="210">
        <f>AP58</f>
        <v>41</v>
      </c>
    </row>
    <row r="53" spans="1:45" x14ac:dyDescent="0.2">
      <c r="A53" s="211" t="s">
        <v>320</v>
      </c>
      <c r="B53" s="352">
        <v>0</v>
      </c>
      <c r="C53" s="352">
        <f t="shared" ref="C53:AP53" si="6">B53+B54-B55</f>
        <v>0</v>
      </c>
      <c r="D53" s="352">
        <f t="shared" si="6"/>
        <v>0</v>
      </c>
      <c r="E53" s="352">
        <f t="shared" si="6"/>
        <v>0</v>
      </c>
      <c r="F53" s="352">
        <f t="shared" si="6"/>
        <v>0</v>
      </c>
      <c r="G53" s="352">
        <f t="shared" si="6"/>
        <v>0</v>
      </c>
      <c r="H53" s="352">
        <f t="shared" si="6"/>
        <v>0</v>
      </c>
      <c r="I53" s="352">
        <f t="shared" si="6"/>
        <v>0</v>
      </c>
      <c r="J53" s="352">
        <f t="shared" si="6"/>
        <v>0</v>
      </c>
      <c r="K53" s="352">
        <f t="shared" si="6"/>
        <v>0</v>
      </c>
      <c r="L53" s="352">
        <f t="shared" si="6"/>
        <v>0</v>
      </c>
      <c r="M53" s="352">
        <f t="shared" si="6"/>
        <v>0</v>
      </c>
      <c r="N53" s="352">
        <f t="shared" si="6"/>
        <v>0</v>
      </c>
      <c r="O53" s="352">
        <f t="shared" si="6"/>
        <v>0</v>
      </c>
      <c r="P53" s="352">
        <f t="shared" si="6"/>
        <v>0</v>
      </c>
      <c r="Q53" s="352">
        <f t="shared" si="6"/>
        <v>0</v>
      </c>
      <c r="R53" s="352">
        <f t="shared" si="6"/>
        <v>0</v>
      </c>
      <c r="S53" s="352">
        <f t="shared" si="6"/>
        <v>0</v>
      </c>
      <c r="T53" s="352">
        <f t="shared" si="6"/>
        <v>0</v>
      </c>
      <c r="U53" s="352">
        <f t="shared" si="6"/>
        <v>0</v>
      </c>
      <c r="V53" s="352">
        <f t="shared" si="6"/>
        <v>0</v>
      </c>
      <c r="W53" s="352">
        <f t="shared" si="6"/>
        <v>0</v>
      </c>
      <c r="X53" s="352">
        <f t="shared" si="6"/>
        <v>0</v>
      </c>
      <c r="Y53" s="352">
        <f t="shared" si="6"/>
        <v>0</v>
      </c>
      <c r="Z53" s="352">
        <f t="shared" si="6"/>
        <v>0</v>
      </c>
      <c r="AA53" s="352">
        <f t="shared" si="6"/>
        <v>0</v>
      </c>
      <c r="AB53" s="352">
        <f t="shared" si="6"/>
        <v>0</v>
      </c>
      <c r="AC53" s="352">
        <f t="shared" si="6"/>
        <v>0</v>
      </c>
      <c r="AD53" s="352">
        <f t="shared" si="6"/>
        <v>0</v>
      </c>
      <c r="AE53" s="352">
        <f t="shared" si="6"/>
        <v>0</v>
      </c>
      <c r="AF53" s="352">
        <f t="shared" si="6"/>
        <v>0</v>
      </c>
      <c r="AG53" s="352">
        <f t="shared" si="6"/>
        <v>0</v>
      </c>
      <c r="AH53" s="352">
        <f t="shared" si="6"/>
        <v>0</v>
      </c>
      <c r="AI53" s="352">
        <f t="shared" si="6"/>
        <v>0</v>
      </c>
      <c r="AJ53" s="352">
        <f t="shared" si="6"/>
        <v>0</v>
      </c>
      <c r="AK53" s="352">
        <f t="shared" si="6"/>
        <v>0</v>
      </c>
      <c r="AL53" s="352">
        <f t="shared" si="6"/>
        <v>0</v>
      </c>
      <c r="AM53" s="352">
        <f t="shared" si="6"/>
        <v>0</v>
      </c>
      <c r="AN53" s="352">
        <f t="shared" si="6"/>
        <v>0</v>
      </c>
      <c r="AO53" s="352">
        <f t="shared" si="6"/>
        <v>0</v>
      </c>
      <c r="AP53" s="352">
        <f t="shared" si="6"/>
        <v>0</v>
      </c>
    </row>
    <row r="54" spans="1:45" x14ac:dyDescent="0.2">
      <c r="A54" s="211" t="s">
        <v>319</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11" t="s">
        <v>318</v>
      </c>
      <c r="B55" s="352">
        <f>$B$54/$B$40</f>
        <v>0</v>
      </c>
      <c r="C55" s="352">
        <f t="shared" ref="C55:AP55" si="7">IF(ROUND(C53,1)=0,0,B55+C54/$B$40)</f>
        <v>0</v>
      </c>
      <c r="D55" s="352">
        <f t="shared" si="7"/>
        <v>0</v>
      </c>
      <c r="E55" s="352">
        <f t="shared" si="7"/>
        <v>0</v>
      </c>
      <c r="F55" s="352">
        <f t="shared" si="7"/>
        <v>0</v>
      </c>
      <c r="G55" s="352">
        <f t="shared" si="7"/>
        <v>0</v>
      </c>
      <c r="H55" s="352">
        <f t="shared" si="7"/>
        <v>0</v>
      </c>
      <c r="I55" s="352">
        <f t="shared" si="7"/>
        <v>0</v>
      </c>
      <c r="J55" s="352">
        <f t="shared" si="7"/>
        <v>0</v>
      </c>
      <c r="K55" s="352">
        <f t="shared" si="7"/>
        <v>0</v>
      </c>
      <c r="L55" s="352">
        <f t="shared" si="7"/>
        <v>0</v>
      </c>
      <c r="M55" s="352">
        <f t="shared" si="7"/>
        <v>0</v>
      </c>
      <c r="N55" s="352">
        <f t="shared" si="7"/>
        <v>0</v>
      </c>
      <c r="O55" s="352">
        <f t="shared" si="7"/>
        <v>0</v>
      </c>
      <c r="P55" s="352">
        <f t="shared" si="7"/>
        <v>0</v>
      </c>
      <c r="Q55" s="352">
        <f t="shared" si="7"/>
        <v>0</v>
      </c>
      <c r="R55" s="352">
        <f t="shared" si="7"/>
        <v>0</v>
      </c>
      <c r="S55" s="352">
        <f t="shared" si="7"/>
        <v>0</v>
      </c>
      <c r="T55" s="352">
        <f t="shared" si="7"/>
        <v>0</v>
      </c>
      <c r="U55" s="352">
        <f t="shared" si="7"/>
        <v>0</v>
      </c>
      <c r="V55" s="352">
        <f t="shared" si="7"/>
        <v>0</v>
      </c>
      <c r="W55" s="352">
        <f t="shared" si="7"/>
        <v>0</v>
      </c>
      <c r="X55" s="352">
        <f t="shared" si="7"/>
        <v>0</v>
      </c>
      <c r="Y55" s="352">
        <f t="shared" si="7"/>
        <v>0</v>
      </c>
      <c r="Z55" s="352">
        <f t="shared" si="7"/>
        <v>0</v>
      </c>
      <c r="AA55" s="352">
        <f t="shared" si="7"/>
        <v>0</v>
      </c>
      <c r="AB55" s="352">
        <f t="shared" si="7"/>
        <v>0</v>
      </c>
      <c r="AC55" s="352">
        <f t="shared" si="7"/>
        <v>0</v>
      </c>
      <c r="AD55" s="352">
        <f t="shared" si="7"/>
        <v>0</v>
      </c>
      <c r="AE55" s="352">
        <f t="shared" si="7"/>
        <v>0</v>
      </c>
      <c r="AF55" s="352">
        <f t="shared" si="7"/>
        <v>0</v>
      </c>
      <c r="AG55" s="352">
        <f t="shared" si="7"/>
        <v>0</v>
      </c>
      <c r="AH55" s="352">
        <f t="shared" si="7"/>
        <v>0</v>
      </c>
      <c r="AI55" s="352">
        <f t="shared" si="7"/>
        <v>0</v>
      </c>
      <c r="AJ55" s="352">
        <f t="shared" si="7"/>
        <v>0</v>
      </c>
      <c r="AK55" s="352">
        <f t="shared" si="7"/>
        <v>0</v>
      </c>
      <c r="AL55" s="352">
        <f t="shared" si="7"/>
        <v>0</v>
      </c>
      <c r="AM55" s="352">
        <f t="shared" si="7"/>
        <v>0</v>
      </c>
      <c r="AN55" s="352">
        <f t="shared" si="7"/>
        <v>0</v>
      </c>
      <c r="AO55" s="352">
        <f t="shared" si="7"/>
        <v>0</v>
      </c>
      <c r="AP55" s="352">
        <f t="shared" si="7"/>
        <v>0</v>
      </c>
    </row>
    <row r="56" spans="1:45" ht="16.5" thickBot="1" x14ac:dyDescent="0.25">
      <c r="A56" s="212" t="s">
        <v>317</v>
      </c>
      <c r="B56" s="213">
        <f t="shared" ref="B56:AP56" si="8">AVERAGE(SUM(B53:B54),(SUM(B53:B54)-B55))*$B$42</f>
        <v>0</v>
      </c>
      <c r="C56" s="213">
        <f t="shared" si="8"/>
        <v>0</v>
      </c>
      <c r="D56" s="213">
        <f t="shared" si="8"/>
        <v>0</v>
      </c>
      <c r="E56" s="213">
        <f t="shared" si="8"/>
        <v>0</v>
      </c>
      <c r="F56" s="213">
        <f t="shared" si="8"/>
        <v>0</v>
      </c>
      <c r="G56" s="213">
        <f t="shared" si="8"/>
        <v>0</v>
      </c>
      <c r="H56" s="213">
        <f t="shared" si="8"/>
        <v>0</v>
      </c>
      <c r="I56" s="213">
        <f t="shared" si="8"/>
        <v>0</v>
      </c>
      <c r="J56" s="213">
        <f t="shared" si="8"/>
        <v>0</v>
      </c>
      <c r="K56" s="213">
        <f t="shared" si="8"/>
        <v>0</v>
      </c>
      <c r="L56" s="213">
        <f t="shared" si="8"/>
        <v>0</v>
      </c>
      <c r="M56" s="213">
        <f t="shared" si="8"/>
        <v>0</v>
      </c>
      <c r="N56" s="213">
        <f t="shared" si="8"/>
        <v>0</v>
      </c>
      <c r="O56" s="213">
        <f t="shared" si="8"/>
        <v>0</v>
      </c>
      <c r="P56" s="213">
        <f t="shared" si="8"/>
        <v>0</v>
      </c>
      <c r="Q56" s="213">
        <f t="shared" si="8"/>
        <v>0</v>
      </c>
      <c r="R56" s="213">
        <f t="shared" si="8"/>
        <v>0</v>
      </c>
      <c r="S56" s="213">
        <f t="shared" si="8"/>
        <v>0</v>
      </c>
      <c r="T56" s="213">
        <f t="shared" si="8"/>
        <v>0</v>
      </c>
      <c r="U56" s="213">
        <f t="shared" si="8"/>
        <v>0</v>
      </c>
      <c r="V56" s="213">
        <f t="shared" si="8"/>
        <v>0</v>
      </c>
      <c r="W56" s="213">
        <f t="shared" si="8"/>
        <v>0</v>
      </c>
      <c r="X56" s="213">
        <f t="shared" si="8"/>
        <v>0</v>
      </c>
      <c r="Y56" s="213">
        <f t="shared" si="8"/>
        <v>0</v>
      </c>
      <c r="Z56" s="213">
        <f t="shared" si="8"/>
        <v>0</v>
      </c>
      <c r="AA56" s="213">
        <f t="shared" si="8"/>
        <v>0</v>
      </c>
      <c r="AB56" s="213">
        <f t="shared" si="8"/>
        <v>0</v>
      </c>
      <c r="AC56" s="213">
        <f t="shared" si="8"/>
        <v>0</v>
      </c>
      <c r="AD56" s="213">
        <f t="shared" si="8"/>
        <v>0</v>
      </c>
      <c r="AE56" s="213">
        <f t="shared" si="8"/>
        <v>0</v>
      </c>
      <c r="AF56" s="213">
        <f t="shared" si="8"/>
        <v>0</v>
      </c>
      <c r="AG56" s="213">
        <f t="shared" si="8"/>
        <v>0</v>
      </c>
      <c r="AH56" s="213">
        <f t="shared" si="8"/>
        <v>0</v>
      </c>
      <c r="AI56" s="213">
        <f t="shared" si="8"/>
        <v>0</v>
      </c>
      <c r="AJ56" s="213">
        <f t="shared" si="8"/>
        <v>0</v>
      </c>
      <c r="AK56" s="213">
        <f t="shared" si="8"/>
        <v>0</v>
      </c>
      <c r="AL56" s="213">
        <f t="shared" si="8"/>
        <v>0</v>
      </c>
      <c r="AM56" s="213">
        <f t="shared" si="8"/>
        <v>0</v>
      </c>
      <c r="AN56" s="213">
        <f t="shared" si="8"/>
        <v>0</v>
      </c>
      <c r="AO56" s="213">
        <f t="shared" si="8"/>
        <v>0</v>
      </c>
      <c r="AP56" s="213">
        <f t="shared" si="8"/>
        <v>0</v>
      </c>
    </row>
    <row r="57" spans="1:45"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171"/>
      <c r="AR57" s="171"/>
      <c r="AS57" s="171"/>
    </row>
    <row r="58" spans="1:45" x14ac:dyDescent="0.2">
      <c r="A58" s="209" t="s">
        <v>538</v>
      </c>
      <c r="B58" s="210">
        <v>1</v>
      </c>
      <c r="C58" s="210">
        <f>B58+1</f>
        <v>2</v>
      </c>
      <c r="D58" s="210">
        <f t="shared" ref="D58:AP58" si="9">C58+1</f>
        <v>3</v>
      </c>
      <c r="E58" s="210">
        <f t="shared" si="9"/>
        <v>4</v>
      </c>
      <c r="F58" s="210">
        <f t="shared" si="9"/>
        <v>5</v>
      </c>
      <c r="G58" s="210">
        <f t="shared" si="9"/>
        <v>6</v>
      </c>
      <c r="H58" s="210">
        <f t="shared" si="9"/>
        <v>7</v>
      </c>
      <c r="I58" s="210">
        <f t="shared" si="9"/>
        <v>8</v>
      </c>
      <c r="J58" s="210">
        <f t="shared" si="9"/>
        <v>9</v>
      </c>
      <c r="K58" s="210">
        <f t="shared" si="9"/>
        <v>10</v>
      </c>
      <c r="L58" s="210">
        <f t="shared" si="9"/>
        <v>11</v>
      </c>
      <c r="M58" s="210">
        <f t="shared" si="9"/>
        <v>12</v>
      </c>
      <c r="N58" s="210">
        <f t="shared" si="9"/>
        <v>13</v>
      </c>
      <c r="O58" s="210">
        <f t="shared" si="9"/>
        <v>14</v>
      </c>
      <c r="P58" s="210">
        <f t="shared" si="9"/>
        <v>15</v>
      </c>
      <c r="Q58" s="210">
        <f t="shared" si="9"/>
        <v>16</v>
      </c>
      <c r="R58" s="210">
        <f t="shared" si="9"/>
        <v>17</v>
      </c>
      <c r="S58" s="210">
        <f t="shared" si="9"/>
        <v>18</v>
      </c>
      <c r="T58" s="210">
        <f t="shared" si="9"/>
        <v>19</v>
      </c>
      <c r="U58" s="210">
        <f t="shared" si="9"/>
        <v>20</v>
      </c>
      <c r="V58" s="210">
        <f t="shared" si="9"/>
        <v>21</v>
      </c>
      <c r="W58" s="210">
        <f t="shared" si="9"/>
        <v>22</v>
      </c>
      <c r="X58" s="210">
        <f t="shared" si="9"/>
        <v>23</v>
      </c>
      <c r="Y58" s="210">
        <f t="shared" si="9"/>
        <v>24</v>
      </c>
      <c r="Z58" s="210">
        <f t="shared" si="9"/>
        <v>25</v>
      </c>
      <c r="AA58" s="210">
        <f t="shared" si="9"/>
        <v>26</v>
      </c>
      <c r="AB58" s="210">
        <f t="shared" si="9"/>
        <v>27</v>
      </c>
      <c r="AC58" s="210">
        <f t="shared" si="9"/>
        <v>28</v>
      </c>
      <c r="AD58" s="210">
        <f t="shared" si="9"/>
        <v>29</v>
      </c>
      <c r="AE58" s="210">
        <f t="shared" si="9"/>
        <v>30</v>
      </c>
      <c r="AF58" s="210">
        <f t="shared" si="9"/>
        <v>31</v>
      </c>
      <c r="AG58" s="210">
        <f t="shared" si="9"/>
        <v>32</v>
      </c>
      <c r="AH58" s="210">
        <f t="shared" si="9"/>
        <v>33</v>
      </c>
      <c r="AI58" s="210">
        <f t="shared" si="9"/>
        <v>34</v>
      </c>
      <c r="AJ58" s="210">
        <f t="shared" si="9"/>
        <v>35</v>
      </c>
      <c r="AK58" s="210">
        <f t="shared" si="9"/>
        <v>36</v>
      </c>
      <c r="AL58" s="210">
        <f t="shared" si="9"/>
        <v>37</v>
      </c>
      <c r="AM58" s="210">
        <f t="shared" si="9"/>
        <v>38</v>
      </c>
      <c r="AN58" s="210">
        <f t="shared" si="9"/>
        <v>39</v>
      </c>
      <c r="AO58" s="210">
        <f t="shared" si="9"/>
        <v>40</v>
      </c>
      <c r="AP58" s="210">
        <f t="shared" si="9"/>
        <v>41</v>
      </c>
    </row>
    <row r="59" spans="1:45" ht="14.25" x14ac:dyDescent="0.2">
      <c r="A59" s="217" t="s">
        <v>316</v>
      </c>
      <c r="B59" s="353">
        <f t="shared" ref="B59:AP59" si="10">B50*$B$28</f>
        <v>1983719.95</v>
      </c>
      <c r="C59" s="353">
        <f t="shared" si="10"/>
        <v>548046.87947544944</v>
      </c>
      <c r="D59" s="353">
        <f t="shared" si="10"/>
        <v>1142129.6968268366</v>
      </c>
      <c r="E59" s="353">
        <f t="shared" si="10"/>
        <v>1803180.5213538848</v>
      </c>
      <c r="F59" s="353">
        <f t="shared" si="10"/>
        <v>1878914.103250748</v>
      </c>
      <c r="G59" s="353">
        <f t="shared" si="10"/>
        <v>1957828.4955872793</v>
      </c>
      <c r="H59" s="353">
        <f t="shared" si="10"/>
        <v>2040057.292401945</v>
      </c>
      <c r="I59" s="353">
        <f t="shared" si="10"/>
        <v>2125739.6986828269</v>
      </c>
      <c r="J59" s="353">
        <f t="shared" si="10"/>
        <v>2215020.766027506</v>
      </c>
      <c r="K59" s="353">
        <f t="shared" si="10"/>
        <v>2308051.6382006612</v>
      </c>
      <c r="L59" s="353">
        <f t="shared" si="10"/>
        <v>2404989.8070050892</v>
      </c>
      <c r="M59" s="353">
        <f t="shared" si="10"/>
        <v>2505999.3788993028</v>
      </c>
      <c r="N59" s="353">
        <f t="shared" si="10"/>
        <v>2611251.3528130739</v>
      </c>
      <c r="O59" s="353">
        <f t="shared" si="10"/>
        <v>2720923.909631223</v>
      </c>
      <c r="P59" s="353">
        <f t="shared" si="10"/>
        <v>2835202.7138357344</v>
      </c>
      <c r="Q59" s="353">
        <f t="shared" si="10"/>
        <v>2954281.227816835</v>
      </c>
      <c r="R59" s="353">
        <f t="shared" si="10"/>
        <v>3078361.0393851427</v>
      </c>
      <c r="S59" s="353">
        <f t="shared" si="10"/>
        <v>3207652.2030393183</v>
      </c>
      <c r="T59" s="353">
        <f t="shared" si="10"/>
        <v>3342373.5955669703</v>
      </c>
      <c r="U59" s="353">
        <f t="shared" si="10"/>
        <v>3482753.2865807828</v>
      </c>
      <c r="V59" s="353">
        <f t="shared" si="10"/>
        <v>3629028.9246171759</v>
      </c>
      <c r="W59" s="353">
        <f t="shared" si="10"/>
        <v>3781448.1394510977</v>
      </c>
      <c r="X59" s="353">
        <f t="shared" si="10"/>
        <v>3940268.9613080439</v>
      </c>
      <c r="Y59" s="353">
        <f t="shared" si="10"/>
        <v>4105760.2576829819</v>
      </c>
      <c r="Z59" s="353">
        <f t="shared" si="10"/>
        <v>4278202.1885056673</v>
      </c>
      <c r="AA59" s="353">
        <f t="shared" si="10"/>
        <v>4457886.6804229058</v>
      </c>
      <c r="AB59" s="353">
        <f t="shared" si="10"/>
        <v>4645117.9210006678</v>
      </c>
      <c r="AC59" s="353">
        <f t="shared" si="10"/>
        <v>4840212.8736826964</v>
      </c>
      <c r="AD59" s="353">
        <f t="shared" si="10"/>
        <v>5043501.8143773694</v>
      </c>
      <c r="AE59" s="353">
        <f t="shared" si="10"/>
        <v>5255328.8905812195</v>
      </c>
      <c r="AF59" s="353">
        <f t="shared" si="10"/>
        <v>5476052.7039856315</v>
      </c>
      <c r="AG59" s="353">
        <f t="shared" si="10"/>
        <v>5706046.9175530281</v>
      </c>
      <c r="AH59" s="353">
        <f t="shared" si="10"/>
        <v>5945700.8880902547</v>
      </c>
      <c r="AI59" s="353">
        <f t="shared" si="10"/>
        <v>6195420.3253900455</v>
      </c>
      <c r="AJ59" s="353">
        <f t="shared" si="10"/>
        <v>6455627.9790564273</v>
      </c>
      <c r="AK59" s="353">
        <f t="shared" si="10"/>
        <v>6726764.354176797</v>
      </c>
      <c r="AL59" s="353">
        <f t="shared" si="10"/>
        <v>7009288.4570522225</v>
      </c>
      <c r="AM59" s="353">
        <f t="shared" si="10"/>
        <v>7303678.572248417</v>
      </c>
      <c r="AN59" s="353">
        <f t="shared" si="10"/>
        <v>7610433.0722828507</v>
      </c>
      <c r="AO59" s="353">
        <f t="shared" si="10"/>
        <v>7930071.2613187321</v>
      </c>
      <c r="AP59" s="353">
        <f t="shared" si="10"/>
        <v>8263134.2542941188</v>
      </c>
    </row>
    <row r="60" spans="1:45" x14ac:dyDescent="0.2">
      <c r="A60" s="211" t="s">
        <v>315</v>
      </c>
      <c r="B60" s="352">
        <f t="shared" ref="B60:Z60" si="11">SUM(B61:B65)</f>
        <v>0</v>
      </c>
      <c r="C60" s="352">
        <f t="shared" si="11"/>
        <v>-22572.531829497602</v>
      </c>
      <c r="D60" s="352">
        <f>SUM(D61:D65)</f>
        <v>-23520.578166336505</v>
      </c>
      <c r="E60" s="352">
        <f t="shared" si="11"/>
        <v>-24508.442449322636</v>
      </c>
      <c r="F60" s="352">
        <f t="shared" si="11"/>
        <v>-25537.797032194187</v>
      </c>
      <c r="G60" s="352">
        <f t="shared" si="11"/>
        <v>-26610.384507546343</v>
      </c>
      <c r="H60" s="352">
        <f t="shared" si="11"/>
        <v>-27728.020656863289</v>
      </c>
      <c r="I60" s="352">
        <f t="shared" si="11"/>
        <v>-28892.59752445155</v>
      </c>
      <c r="J60" s="352">
        <f t="shared" si="11"/>
        <v>-30106.08662047852</v>
      </c>
      <c r="K60" s="352">
        <f t="shared" si="11"/>
        <v>-31370.542258538615</v>
      </c>
      <c r="L60" s="352">
        <f t="shared" si="11"/>
        <v>-32688.105033397242</v>
      </c>
      <c r="M60" s="352">
        <f t="shared" si="11"/>
        <v>-34061.005444799928</v>
      </c>
      <c r="N60" s="352">
        <f t="shared" si="11"/>
        <v>-35491.567673481528</v>
      </c>
      <c r="O60" s="352">
        <f t="shared" si="11"/>
        <v>-36982.213515767755</v>
      </c>
      <c r="P60" s="352">
        <f t="shared" si="11"/>
        <v>-38535.466483429998</v>
      </c>
      <c r="Q60" s="352">
        <f t="shared" si="11"/>
        <v>-40153.956075734059</v>
      </c>
      <c r="R60" s="352">
        <f t="shared" si="11"/>
        <v>-41840.42223091489</v>
      </c>
      <c r="S60" s="352">
        <f t="shared" si="11"/>
        <v>-43597.719964613316</v>
      </c>
      <c r="T60" s="352">
        <f t="shared" si="11"/>
        <v>-45428.824203127078</v>
      </c>
      <c r="U60" s="352">
        <f t="shared" si="11"/>
        <v>-47336.834819658412</v>
      </c>
      <c r="V60" s="352">
        <f t="shared" si="11"/>
        <v>-49324.981882084074</v>
      </c>
      <c r="W60" s="352">
        <f t="shared" si="11"/>
        <v>-51396.631121131606</v>
      </c>
      <c r="X60" s="352">
        <f t="shared" si="11"/>
        <v>-53555.289628219136</v>
      </c>
      <c r="Y60" s="352">
        <f t="shared" si="11"/>
        <v>-55804.611792604337</v>
      </c>
      <c r="Z60" s="352">
        <f t="shared" si="11"/>
        <v>-58148.405487893724</v>
      </c>
      <c r="AA60" s="352">
        <f t="shared" ref="AA60:AP60" si="12">SUM(AA61:AA65)</f>
        <v>-60590.638518385262</v>
      </c>
      <c r="AB60" s="352">
        <f t="shared" si="12"/>
        <v>-63135.445336157449</v>
      </c>
      <c r="AC60" s="352">
        <f t="shared" si="12"/>
        <v>-65787.134040276069</v>
      </c>
      <c r="AD60" s="352">
        <f t="shared" si="12"/>
        <v>-68550.193669967673</v>
      </c>
      <c r="AE60" s="352">
        <f t="shared" si="12"/>
        <v>-71429.301804106319</v>
      </c>
      <c r="AF60" s="352">
        <f t="shared" si="12"/>
        <v>-74429.33247987878</v>
      </c>
      <c r="AG60" s="352">
        <f t="shared" si="12"/>
        <v>-77555.364444033694</v>
      </c>
      <c r="AH60" s="352">
        <f t="shared" si="12"/>
        <v>-80812.689750683116</v>
      </c>
      <c r="AI60" s="352">
        <f t="shared" si="12"/>
        <v>-84206.8227202118</v>
      </c>
      <c r="AJ60" s="352">
        <f t="shared" si="12"/>
        <v>-87743.509274460695</v>
      </c>
      <c r="AK60" s="352">
        <f t="shared" si="12"/>
        <v>-91428.736663988049</v>
      </c>
      <c r="AL60" s="352">
        <f t="shared" si="12"/>
        <v>-95268.74360387554</v>
      </c>
      <c r="AM60" s="352">
        <f t="shared" si="12"/>
        <v>-99270.030835238329</v>
      </c>
      <c r="AN60" s="352">
        <f t="shared" si="12"/>
        <v>-103439.37213031834</v>
      </c>
      <c r="AO60" s="352">
        <f t="shared" si="12"/>
        <v>-107783.82575979173</v>
      </c>
      <c r="AP60" s="352">
        <f t="shared" si="12"/>
        <v>-112310.74644170298</v>
      </c>
    </row>
    <row r="61" spans="1:45" x14ac:dyDescent="0.2">
      <c r="A61" s="218" t="s">
        <v>314</v>
      </c>
      <c r="B61" s="352"/>
      <c r="C61" s="352">
        <f>-IF(C$47&lt;=$B$30,0,$B$29*(1+C$49)*$B$28)</f>
        <v>-22572.531829497602</v>
      </c>
      <c r="D61" s="352">
        <f>-IF(D$47&lt;=$B$30,0,$B$29*(1+D$49)*$B$28)</f>
        <v>-23520.578166336505</v>
      </c>
      <c r="E61" s="352">
        <f t="shared" ref="E61:AP61" si="13">-IF(E$47&lt;=$B$30,0,$B$29*(1+E$49)*$B$28)</f>
        <v>-24508.442449322636</v>
      </c>
      <c r="F61" s="352">
        <f t="shared" si="13"/>
        <v>-25537.797032194187</v>
      </c>
      <c r="G61" s="352">
        <f t="shared" si="13"/>
        <v>-26610.384507546343</v>
      </c>
      <c r="H61" s="352">
        <f t="shared" si="13"/>
        <v>-27728.020656863289</v>
      </c>
      <c r="I61" s="352">
        <f t="shared" si="13"/>
        <v>-28892.59752445155</v>
      </c>
      <c r="J61" s="352">
        <f t="shared" si="13"/>
        <v>-30106.08662047852</v>
      </c>
      <c r="K61" s="352">
        <f t="shared" si="13"/>
        <v>-31370.542258538615</v>
      </c>
      <c r="L61" s="352">
        <f t="shared" si="13"/>
        <v>-32688.105033397242</v>
      </c>
      <c r="M61" s="352">
        <f t="shared" si="13"/>
        <v>-34061.005444799928</v>
      </c>
      <c r="N61" s="352">
        <f t="shared" si="13"/>
        <v>-35491.567673481528</v>
      </c>
      <c r="O61" s="352">
        <f t="shared" si="13"/>
        <v>-36982.213515767755</v>
      </c>
      <c r="P61" s="352">
        <f t="shared" si="13"/>
        <v>-38535.466483429998</v>
      </c>
      <c r="Q61" s="352">
        <f t="shared" si="13"/>
        <v>-40153.956075734059</v>
      </c>
      <c r="R61" s="352">
        <f t="shared" si="13"/>
        <v>-41840.42223091489</v>
      </c>
      <c r="S61" s="352">
        <f t="shared" si="13"/>
        <v>-43597.719964613316</v>
      </c>
      <c r="T61" s="352">
        <f t="shared" si="13"/>
        <v>-45428.824203127078</v>
      </c>
      <c r="U61" s="352">
        <f t="shared" si="13"/>
        <v>-47336.834819658412</v>
      </c>
      <c r="V61" s="352">
        <f t="shared" si="13"/>
        <v>-49324.981882084074</v>
      </c>
      <c r="W61" s="352">
        <f t="shared" si="13"/>
        <v>-51396.631121131606</v>
      </c>
      <c r="X61" s="352">
        <f t="shared" si="13"/>
        <v>-53555.289628219136</v>
      </c>
      <c r="Y61" s="352">
        <f t="shared" si="13"/>
        <v>-55804.611792604337</v>
      </c>
      <c r="Z61" s="352">
        <f t="shared" si="13"/>
        <v>-58148.405487893724</v>
      </c>
      <c r="AA61" s="352">
        <f t="shared" si="13"/>
        <v>-60590.638518385262</v>
      </c>
      <c r="AB61" s="352">
        <f t="shared" si="13"/>
        <v>-63135.445336157449</v>
      </c>
      <c r="AC61" s="352">
        <f t="shared" si="13"/>
        <v>-65787.134040276069</v>
      </c>
      <c r="AD61" s="352">
        <f t="shared" si="13"/>
        <v>-68550.193669967673</v>
      </c>
      <c r="AE61" s="352">
        <f t="shared" si="13"/>
        <v>-71429.301804106319</v>
      </c>
      <c r="AF61" s="352">
        <f t="shared" si="13"/>
        <v>-74429.33247987878</v>
      </c>
      <c r="AG61" s="352">
        <f t="shared" si="13"/>
        <v>-77555.364444033694</v>
      </c>
      <c r="AH61" s="352">
        <f t="shared" si="13"/>
        <v>-80812.689750683116</v>
      </c>
      <c r="AI61" s="352">
        <f t="shared" si="13"/>
        <v>-84206.8227202118</v>
      </c>
      <c r="AJ61" s="352">
        <f t="shared" si="13"/>
        <v>-87743.509274460695</v>
      </c>
      <c r="AK61" s="352">
        <f t="shared" si="13"/>
        <v>-91428.736663988049</v>
      </c>
      <c r="AL61" s="352">
        <f t="shared" si="13"/>
        <v>-95268.74360387554</v>
      </c>
      <c r="AM61" s="352">
        <f t="shared" si="13"/>
        <v>-99270.030835238329</v>
      </c>
      <c r="AN61" s="352">
        <f t="shared" si="13"/>
        <v>-103439.37213031834</v>
      </c>
      <c r="AO61" s="352">
        <f t="shared" si="13"/>
        <v>-107783.82575979173</v>
      </c>
      <c r="AP61" s="352">
        <f t="shared" si="13"/>
        <v>-112310.74644170298</v>
      </c>
    </row>
    <row r="62" spans="1:45" x14ac:dyDescent="0.2">
      <c r="A62" s="218"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218" t="s">
        <v>535</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218" t="s">
        <v>535</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45" ht="31.5" x14ac:dyDescent="0.2">
      <c r="A65" s="218" t="s">
        <v>539</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45" ht="28.5" x14ac:dyDescent="0.2">
      <c r="A66" s="219" t="s">
        <v>312</v>
      </c>
      <c r="B66" s="353">
        <f t="shared" ref="B66:AO66" si="14">B59+B60</f>
        <v>1983719.95</v>
      </c>
      <c r="C66" s="353">
        <f t="shared" si="14"/>
        <v>525474.3476459519</v>
      </c>
      <c r="D66" s="353">
        <f t="shared" si="14"/>
        <v>1118609.1186605</v>
      </c>
      <c r="E66" s="353">
        <f t="shared" si="14"/>
        <v>1778672.0789045622</v>
      </c>
      <c r="F66" s="353">
        <f t="shared" si="14"/>
        <v>1853376.3062185538</v>
      </c>
      <c r="G66" s="353">
        <f t="shared" si="14"/>
        <v>1931218.1110797329</v>
      </c>
      <c r="H66" s="353">
        <f t="shared" si="14"/>
        <v>2012329.2717450818</v>
      </c>
      <c r="I66" s="353">
        <f t="shared" si="14"/>
        <v>2096847.1011583754</v>
      </c>
      <c r="J66" s="353">
        <f t="shared" si="14"/>
        <v>2184914.6794070276</v>
      </c>
      <c r="K66" s="353">
        <f t="shared" si="14"/>
        <v>2276681.0959421224</v>
      </c>
      <c r="L66" s="353">
        <f t="shared" si="14"/>
        <v>2372301.701971692</v>
      </c>
      <c r="M66" s="353">
        <f t="shared" si="14"/>
        <v>2471938.3734545028</v>
      </c>
      <c r="N66" s="353">
        <f t="shared" si="14"/>
        <v>2575759.7851395924</v>
      </c>
      <c r="O66" s="353">
        <f t="shared" si="14"/>
        <v>2683941.6961154551</v>
      </c>
      <c r="P66" s="353">
        <f t="shared" si="14"/>
        <v>2796667.2473523044</v>
      </c>
      <c r="Q66" s="353">
        <f t="shared" si="14"/>
        <v>2914127.2717411011</v>
      </c>
      <c r="R66" s="353">
        <f t="shared" si="14"/>
        <v>3036520.617154228</v>
      </c>
      <c r="S66" s="353">
        <f t="shared" si="14"/>
        <v>3164054.4830747051</v>
      </c>
      <c r="T66" s="353">
        <f t="shared" si="14"/>
        <v>3296944.7713638432</v>
      </c>
      <c r="U66" s="353">
        <f t="shared" si="14"/>
        <v>3435416.4517611247</v>
      </c>
      <c r="V66" s="353">
        <f t="shared" si="14"/>
        <v>3579703.9427350918</v>
      </c>
      <c r="W66" s="353">
        <f t="shared" si="14"/>
        <v>3730051.5083299661</v>
      </c>
      <c r="X66" s="353">
        <f t="shared" si="14"/>
        <v>3886713.6716798246</v>
      </c>
      <c r="Y66" s="353">
        <f t="shared" si="14"/>
        <v>4049955.6458903775</v>
      </c>
      <c r="Z66" s="353">
        <f t="shared" si="14"/>
        <v>4220053.7830177732</v>
      </c>
      <c r="AA66" s="353">
        <f t="shared" si="14"/>
        <v>4397296.0419045202</v>
      </c>
      <c r="AB66" s="353">
        <f t="shared" si="14"/>
        <v>4581982.4756645104</v>
      </c>
      <c r="AC66" s="353">
        <f t="shared" si="14"/>
        <v>4774425.7396424199</v>
      </c>
      <c r="AD66" s="353">
        <f t="shared" si="14"/>
        <v>4974951.620707402</v>
      </c>
      <c r="AE66" s="353">
        <f t="shared" si="14"/>
        <v>5183899.5887771128</v>
      </c>
      <c r="AF66" s="353">
        <f t="shared" si="14"/>
        <v>5401623.3715057531</v>
      </c>
      <c r="AG66" s="353">
        <f t="shared" si="14"/>
        <v>5628491.5531089948</v>
      </c>
      <c r="AH66" s="353">
        <f t="shared" si="14"/>
        <v>5864888.1983395712</v>
      </c>
      <c r="AI66" s="353">
        <f t="shared" si="14"/>
        <v>6111213.5026698336</v>
      </c>
      <c r="AJ66" s="353">
        <f t="shared" si="14"/>
        <v>6367884.4697819669</v>
      </c>
      <c r="AK66" s="353">
        <f t="shared" si="14"/>
        <v>6635335.6175128091</v>
      </c>
      <c r="AL66" s="353">
        <f t="shared" si="14"/>
        <v>6914019.7134483466</v>
      </c>
      <c r="AM66" s="353">
        <f t="shared" si="14"/>
        <v>7204408.5414131787</v>
      </c>
      <c r="AN66" s="353">
        <f t="shared" si="14"/>
        <v>7506993.7001525322</v>
      </c>
      <c r="AO66" s="353">
        <f t="shared" si="14"/>
        <v>7822287.4355589403</v>
      </c>
      <c r="AP66" s="353">
        <f>AP59+AP60</f>
        <v>8150823.5078524156</v>
      </c>
    </row>
    <row r="67" spans="1:45" x14ac:dyDescent="0.2">
      <c r="A67" s="218" t="s">
        <v>307</v>
      </c>
      <c r="B67" s="220"/>
      <c r="C67" s="352">
        <f>-($B$25)*1.18*$B$28/$B$27</f>
        <v>-65021.933333333334</v>
      </c>
      <c r="D67" s="352">
        <f>C67</f>
        <v>-65021.933333333334</v>
      </c>
      <c r="E67" s="352">
        <f t="shared" ref="E67:AP67" si="15">D67</f>
        <v>-65021.933333333334</v>
      </c>
      <c r="F67" s="352">
        <f t="shared" si="15"/>
        <v>-65021.933333333334</v>
      </c>
      <c r="G67" s="352">
        <f t="shared" si="15"/>
        <v>-65021.933333333334</v>
      </c>
      <c r="H67" s="352">
        <f t="shared" si="15"/>
        <v>-65021.933333333334</v>
      </c>
      <c r="I67" s="352">
        <f t="shared" si="15"/>
        <v>-65021.933333333334</v>
      </c>
      <c r="J67" s="352">
        <f t="shared" si="15"/>
        <v>-65021.933333333334</v>
      </c>
      <c r="K67" s="352">
        <f t="shared" si="15"/>
        <v>-65021.933333333334</v>
      </c>
      <c r="L67" s="352">
        <f t="shared" si="15"/>
        <v>-65021.933333333334</v>
      </c>
      <c r="M67" s="352">
        <f t="shared" si="15"/>
        <v>-65021.933333333334</v>
      </c>
      <c r="N67" s="352">
        <f t="shared" si="15"/>
        <v>-65021.933333333334</v>
      </c>
      <c r="O67" s="352">
        <f t="shared" si="15"/>
        <v>-65021.933333333334</v>
      </c>
      <c r="P67" s="352">
        <f t="shared" si="15"/>
        <v>-65021.933333333334</v>
      </c>
      <c r="Q67" s="352">
        <f t="shared" si="15"/>
        <v>-65021.933333333334</v>
      </c>
      <c r="R67" s="352">
        <f t="shared" si="15"/>
        <v>-65021.933333333334</v>
      </c>
      <c r="S67" s="352">
        <f t="shared" si="15"/>
        <v>-65021.933333333334</v>
      </c>
      <c r="T67" s="352">
        <f t="shared" si="15"/>
        <v>-65021.933333333334</v>
      </c>
      <c r="U67" s="352">
        <f t="shared" si="15"/>
        <v>-65021.933333333334</v>
      </c>
      <c r="V67" s="352">
        <f t="shared" si="15"/>
        <v>-65021.933333333334</v>
      </c>
      <c r="W67" s="352">
        <f t="shared" si="15"/>
        <v>-65021.933333333334</v>
      </c>
      <c r="X67" s="352">
        <f t="shared" si="15"/>
        <v>-65021.933333333334</v>
      </c>
      <c r="Y67" s="352">
        <f t="shared" si="15"/>
        <v>-65021.933333333334</v>
      </c>
      <c r="Z67" s="352">
        <f t="shared" si="15"/>
        <v>-65021.933333333334</v>
      </c>
      <c r="AA67" s="352">
        <f t="shared" si="15"/>
        <v>-65021.933333333334</v>
      </c>
      <c r="AB67" s="352">
        <f t="shared" si="15"/>
        <v>-65021.933333333334</v>
      </c>
      <c r="AC67" s="352">
        <f t="shared" si="15"/>
        <v>-65021.933333333334</v>
      </c>
      <c r="AD67" s="352">
        <f t="shared" si="15"/>
        <v>-65021.933333333334</v>
      </c>
      <c r="AE67" s="352">
        <f t="shared" si="15"/>
        <v>-65021.933333333334</v>
      </c>
      <c r="AF67" s="352">
        <f t="shared" si="15"/>
        <v>-65021.933333333334</v>
      </c>
      <c r="AG67" s="352">
        <f t="shared" si="15"/>
        <v>-65021.933333333334</v>
      </c>
      <c r="AH67" s="352">
        <f t="shared" si="15"/>
        <v>-65021.933333333334</v>
      </c>
      <c r="AI67" s="352">
        <f t="shared" si="15"/>
        <v>-65021.933333333334</v>
      </c>
      <c r="AJ67" s="352">
        <f t="shared" si="15"/>
        <v>-65021.933333333334</v>
      </c>
      <c r="AK67" s="352">
        <f t="shared" si="15"/>
        <v>-65021.933333333334</v>
      </c>
      <c r="AL67" s="352">
        <f t="shared" si="15"/>
        <v>-65021.933333333334</v>
      </c>
      <c r="AM67" s="352">
        <f t="shared" si="15"/>
        <v>-65021.933333333334</v>
      </c>
      <c r="AN67" s="352">
        <f t="shared" si="15"/>
        <v>-65021.933333333334</v>
      </c>
      <c r="AO67" s="352">
        <f t="shared" si="15"/>
        <v>-65021.933333333334</v>
      </c>
      <c r="AP67" s="352">
        <f t="shared" si="15"/>
        <v>-65021.933333333334</v>
      </c>
      <c r="AQ67" s="221">
        <f>SUM(B67:AA67)/1.18</f>
        <v>-1377583.3333333335</v>
      </c>
      <c r="AR67" s="222">
        <f>SUM(B67:AF67)/1.18</f>
        <v>-1653100.0000000002</v>
      </c>
      <c r="AS67" s="222">
        <f>SUM(B67:AP67)/1.18</f>
        <v>-2204133.3333333326</v>
      </c>
    </row>
    <row r="68" spans="1:45" ht="28.5" x14ac:dyDescent="0.2">
      <c r="A68" s="219" t="s">
        <v>308</v>
      </c>
      <c r="B68" s="353">
        <f t="shared" ref="B68:J68" si="16">B66+B67</f>
        <v>1983719.95</v>
      </c>
      <c r="C68" s="353">
        <f>C66+C67</f>
        <v>460452.41431261855</v>
      </c>
      <c r="D68" s="353">
        <f>D66+D67</f>
        <v>1053587.1853271667</v>
      </c>
      <c r="E68" s="353">
        <f t="shared" si="16"/>
        <v>1713650.1455712288</v>
      </c>
      <c r="F68" s="353">
        <f>F66+C67</f>
        <v>1788354.3728852205</v>
      </c>
      <c r="G68" s="353">
        <f t="shared" si="16"/>
        <v>1866196.1777463995</v>
      </c>
      <c r="H68" s="353">
        <f t="shared" si="16"/>
        <v>1947307.3384117484</v>
      </c>
      <c r="I68" s="353">
        <f t="shared" si="16"/>
        <v>2031825.167825042</v>
      </c>
      <c r="J68" s="353">
        <f t="shared" si="16"/>
        <v>2119892.7460736944</v>
      </c>
      <c r="K68" s="353">
        <f>K66+K67</f>
        <v>2211659.1626087893</v>
      </c>
      <c r="L68" s="353">
        <f>L66+L67</f>
        <v>2307279.7686383589</v>
      </c>
      <c r="M68" s="353">
        <f t="shared" ref="M68:AO68" si="17">M66+M67</f>
        <v>2406916.4401211697</v>
      </c>
      <c r="N68" s="353">
        <f t="shared" si="17"/>
        <v>2510737.8518062592</v>
      </c>
      <c r="O68" s="353">
        <f t="shared" si="17"/>
        <v>2618919.762782122</v>
      </c>
      <c r="P68" s="353">
        <f t="shared" si="17"/>
        <v>2731645.3140189713</v>
      </c>
      <c r="Q68" s="353">
        <f t="shared" si="17"/>
        <v>2849105.3384077679</v>
      </c>
      <c r="R68" s="353">
        <f t="shared" si="17"/>
        <v>2971498.6838208949</v>
      </c>
      <c r="S68" s="353">
        <f t="shared" si="17"/>
        <v>3099032.549741372</v>
      </c>
      <c r="T68" s="353">
        <f t="shared" si="17"/>
        <v>3231922.8380305101</v>
      </c>
      <c r="U68" s="353">
        <f t="shared" si="17"/>
        <v>3370394.5184277915</v>
      </c>
      <c r="V68" s="353">
        <f t="shared" si="17"/>
        <v>3514682.0094017587</v>
      </c>
      <c r="W68" s="353">
        <f t="shared" si="17"/>
        <v>3665029.574996633</v>
      </c>
      <c r="X68" s="353">
        <f t="shared" si="17"/>
        <v>3821691.7383464915</v>
      </c>
      <c r="Y68" s="353">
        <f t="shared" si="17"/>
        <v>3984933.7125570443</v>
      </c>
      <c r="Z68" s="353">
        <f t="shared" si="17"/>
        <v>4155031.8496844401</v>
      </c>
      <c r="AA68" s="353">
        <f t="shared" si="17"/>
        <v>4332274.1085711867</v>
      </c>
      <c r="AB68" s="353">
        <f t="shared" si="17"/>
        <v>4516960.5423311768</v>
      </c>
      <c r="AC68" s="353">
        <f t="shared" si="17"/>
        <v>4709403.8063090863</v>
      </c>
      <c r="AD68" s="353">
        <f t="shared" si="17"/>
        <v>4909929.6873740684</v>
      </c>
      <c r="AE68" s="353">
        <f t="shared" si="17"/>
        <v>5118877.6554437792</v>
      </c>
      <c r="AF68" s="353">
        <f t="shared" si="17"/>
        <v>5336601.4381724196</v>
      </c>
      <c r="AG68" s="353">
        <f t="shared" si="17"/>
        <v>5563469.6197756613</v>
      </c>
      <c r="AH68" s="353">
        <f t="shared" si="17"/>
        <v>5799866.2650062377</v>
      </c>
      <c r="AI68" s="353">
        <f t="shared" si="17"/>
        <v>6046191.5693365</v>
      </c>
      <c r="AJ68" s="353">
        <f t="shared" si="17"/>
        <v>6302862.5364486333</v>
      </c>
      <c r="AK68" s="353">
        <f t="shared" si="17"/>
        <v>6570313.6841794755</v>
      </c>
      <c r="AL68" s="353">
        <f t="shared" si="17"/>
        <v>6848997.780115013</v>
      </c>
      <c r="AM68" s="353">
        <f t="shared" si="17"/>
        <v>7139386.6080798451</v>
      </c>
      <c r="AN68" s="353">
        <f t="shared" si="17"/>
        <v>7441971.7668191986</v>
      </c>
      <c r="AO68" s="353">
        <f t="shared" si="17"/>
        <v>7757265.5022256067</v>
      </c>
      <c r="AP68" s="353">
        <f>AP66+AP67</f>
        <v>8085801.574519082</v>
      </c>
      <c r="AQ68" s="171">
        <v>25</v>
      </c>
      <c r="AR68" s="171">
        <v>30</v>
      </c>
      <c r="AS68" s="171">
        <v>40</v>
      </c>
    </row>
    <row r="69" spans="1:45" x14ac:dyDescent="0.2">
      <c r="A69" s="218" t="s">
        <v>306</v>
      </c>
      <c r="B69" s="352">
        <f t="shared" ref="B69:AO69" si="18">-B56</f>
        <v>0</v>
      </c>
      <c r="C69" s="352">
        <f t="shared" si="18"/>
        <v>0</v>
      </c>
      <c r="D69" s="352">
        <f t="shared" si="18"/>
        <v>0</v>
      </c>
      <c r="E69" s="352">
        <f t="shared" si="18"/>
        <v>0</v>
      </c>
      <c r="F69" s="352">
        <f t="shared" si="18"/>
        <v>0</v>
      </c>
      <c r="G69" s="352">
        <f t="shared" si="18"/>
        <v>0</v>
      </c>
      <c r="H69" s="352">
        <f t="shared" si="18"/>
        <v>0</v>
      </c>
      <c r="I69" s="352">
        <f t="shared" si="18"/>
        <v>0</v>
      </c>
      <c r="J69" s="352">
        <f t="shared" si="18"/>
        <v>0</v>
      </c>
      <c r="K69" s="352">
        <f t="shared" si="18"/>
        <v>0</v>
      </c>
      <c r="L69" s="352">
        <f t="shared" si="18"/>
        <v>0</v>
      </c>
      <c r="M69" s="352">
        <f t="shared" si="18"/>
        <v>0</v>
      </c>
      <c r="N69" s="352">
        <f t="shared" si="18"/>
        <v>0</v>
      </c>
      <c r="O69" s="352">
        <f t="shared" si="18"/>
        <v>0</v>
      </c>
      <c r="P69" s="352">
        <f t="shared" si="18"/>
        <v>0</v>
      </c>
      <c r="Q69" s="352">
        <f t="shared" si="18"/>
        <v>0</v>
      </c>
      <c r="R69" s="352">
        <f t="shared" si="18"/>
        <v>0</v>
      </c>
      <c r="S69" s="352">
        <f t="shared" si="18"/>
        <v>0</v>
      </c>
      <c r="T69" s="352">
        <f t="shared" si="18"/>
        <v>0</v>
      </c>
      <c r="U69" s="352">
        <f t="shared" si="18"/>
        <v>0</v>
      </c>
      <c r="V69" s="352">
        <f t="shared" si="18"/>
        <v>0</v>
      </c>
      <c r="W69" s="352">
        <f t="shared" si="18"/>
        <v>0</v>
      </c>
      <c r="X69" s="352">
        <f t="shared" si="18"/>
        <v>0</v>
      </c>
      <c r="Y69" s="352">
        <f t="shared" si="18"/>
        <v>0</v>
      </c>
      <c r="Z69" s="352">
        <f t="shared" si="18"/>
        <v>0</v>
      </c>
      <c r="AA69" s="352">
        <f t="shared" si="18"/>
        <v>0</v>
      </c>
      <c r="AB69" s="352">
        <f t="shared" si="18"/>
        <v>0</v>
      </c>
      <c r="AC69" s="352">
        <f t="shared" si="18"/>
        <v>0</v>
      </c>
      <c r="AD69" s="352">
        <f t="shared" si="18"/>
        <v>0</v>
      </c>
      <c r="AE69" s="352">
        <f t="shared" si="18"/>
        <v>0</v>
      </c>
      <c r="AF69" s="352">
        <f t="shared" si="18"/>
        <v>0</v>
      </c>
      <c r="AG69" s="352">
        <f t="shared" si="18"/>
        <v>0</v>
      </c>
      <c r="AH69" s="352">
        <f t="shared" si="18"/>
        <v>0</v>
      </c>
      <c r="AI69" s="352">
        <f t="shared" si="18"/>
        <v>0</v>
      </c>
      <c r="AJ69" s="352">
        <f t="shared" si="18"/>
        <v>0</v>
      </c>
      <c r="AK69" s="352">
        <f t="shared" si="18"/>
        <v>0</v>
      </c>
      <c r="AL69" s="352">
        <f t="shared" si="18"/>
        <v>0</v>
      </c>
      <c r="AM69" s="352">
        <f t="shared" si="18"/>
        <v>0</v>
      </c>
      <c r="AN69" s="352">
        <f t="shared" si="18"/>
        <v>0</v>
      </c>
      <c r="AO69" s="352">
        <f t="shared" si="18"/>
        <v>0</v>
      </c>
      <c r="AP69" s="352">
        <f>-AP56</f>
        <v>0</v>
      </c>
    </row>
    <row r="70" spans="1:45" ht="14.25" x14ac:dyDescent="0.2">
      <c r="A70" s="219" t="s">
        <v>311</v>
      </c>
      <c r="B70" s="353">
        <f t="shared" ref="B70:AO70" si="19">B68+B69</f>
        <v>1983719.95</v>
      </c>
      <c r="C70" s="353">
        <f t="shared" si="19"/>
        <v>460452.41431261855</v>
      </c>
      <c r="D70" s="353">
        <f t="shared" si="19"/>
        <v>1053587.1853271667</v>
      </c>
      <c r="E70" s="353">
        <f t="shared" si="19"/>
        <v>1713650.1455712288</v>
      </c>
      <c r="F70" s="353">
        <f t="shared" si="19"/>
        <v>1788354.3728852205</v>
      </c>
      <c r="G70" s="353">
        <f t="shared" si="19"/>
        <v>1866196.1777463995</v>
      </c>
      <c r="H70" s="353">
        <f t="shared" si="19"/>
        <v>1947307.3384117484</v>
      </c>
      <c r="I70" s="353">
        <f t="shared" si="19"/>
        <v>2031825.167825042</v>
      </c>
      <c r="J70" s="353">
        <f t="shared" si="19"/>
        <v>2119892.7460736944</v>
      </c>
      <c r="K70" s="353">
        <f t="shared" si="19"/>
        <v>2211659.1626087893</v>
      </c>
      <c r="L70" s="353">
        <f t="shared" si="19"/>
        <v>2307279.7686383589</v>
      </c>
      <c r="M70" s="353">
        <f t="shared" si="19"/>
        <v>2406916.4401211697</v>
      </c>
      <c r="N70" s="353">
        <f t="shared" si="19"/>
        <v>2510737.8518062592</v>
      </c>
      <c r="O70" s="353">
        <f t="shared" si="19"/>
        <v>2618919.762782122</v>
      </c>
      <c r="P70" s="353">
        <f t="shared" si="19"/>
        <v>2731645.3140189713</v>
      </c>
      <c r="Q70" s="353">
        <f t="shared" si="19"/>
        <v>2849105.3384077679</v>
      </c>
      <c r="R70" s="353">
        <f t="shared" si="19"/>
        <v>2971498.6838208949</v>
      </c>
      <c r="S70" s="353">
        <f t="shared" si="19"/>
        <v>3099032.549741372</v>
      </c>
      <c r="T70" s="353">
        <f t="shared" si="19"/>
        <v>3231922.8380305101</v>
      </c>
      <c r="U70" s="353">
        <f t="shared" si="19"/>
        <v>3370394.5184277915</v>
      </c>
      <c r="V70" s="353">
        <f t="shared" si="19"/>
        <v>3514682.0094017587</v>
      </c>
      <c r="W70" s="353">
        <f t="shared" si="19"/>
        <v>3665029.574996633</v>
      </c>
      <c r="X70" s="353">
        <f t="shared" si="19"/>
        <v>3821691.7383464915</v>
      </c>
      <c r="Y70" s="353">
        <f t="shared" si="19"/>
        <v>3984933.7125570443</v>
      </c>
      <c r="Z70" s="353">
        <f t="shared" si="19"/>
        <v>4155031.8496844401</v>
      </c>
      <c r="AA70" s="353">
        <f t="shared" si="19"/>
        <v>4332274.1085711867</v>
      </c>
      <c r="AB70" s="353">
        <f t="shared" si="19"/>
        <v>4516960.5423311768</v>
      </c>
      <c r="AC70" s="353">
        <f t="shared" si="19"/>
        <v>4709403.8063090863</v>
      </c>
      <c r="AD70" s="353">
        <f t="shared" si="19"/>
        <v>4909929.6873740684</v>
      </c>
      <c r="AE70" s="353">
        <f t="shared" si="19"/>
        <v>5118877.6554437792</v>
      </c>
      <c r="AF70" s="353">
        <f t="shared" si="19"/>
        <v>5336601.4381724196</v>
      </c>
      <c r="AG70" s="353">
        <f t="shared" si="19"/>
        <v>5563469.6197756613</v>
      </c>
      <c r="AH70" s="353">
        <f t="shared" si="19"/>
        <v>5799866.2650062377</v>
      </c>
      <c r="AI70" s="353">
        <f t="shared" si="19"/>
        <v>6046191.5693365</v>
      </c>
      <c r="AJ70" s="353">
        <f t="shared" si="19"/>
        <v>6302862.5364486333</v>
      </c>
      <c r="AK70" s="353">
        <f t="shared" si="19"/>
        <v>6570313.6841794755</v>
      </c>
      <c r="AL70" s="353">
        <f t="shared" si="19"/>
        <v>6848997.780115013</v>
      </c>
      <c r="AM70" s="353">
        <f t="shared" si="19"/>
        <v>7139386.6080798451</v>
      </c>
      <c r="AN70" s="353">
        <f t="shared" si="19"/>
        <v>7441971.7668191986</v>
      </c>
      <c r="AO70" s="353">
        <f t="shared" si="19"/>
        <v>7757265.5022256067</v>
      </c>
      <c r="AP70" s="353">
        <f>AP68+AP69</f>
        <v>8085801.574519082</v>
      </c>
    </row>
    <row r="71" spans="1:45" x14ac:dyDescent="0.2">
      <c r="A71" s="218" t="s">
        <v>305</v>
      </c>
      <c r="B71" s="352">
        <f t="shared" ref="B71:AP71" si="20">-B70*$B$36</f>
        <v>-396743.99</v>
      </c>
      <c r="C71" s="352">
        <f t="shared" si="20"/>
        <v>-92090.482862523713</v>
      </c>
      <c r="D71" s="352">
        <f t="shared" si="20"/>
        <v>-210717.43706543336</v>
      </c>
      <c r="E71" s="352">
        <f t="shared" si="20"/>
        <v>-342730.02911424579</v>
      </c>
      <c r="F71" s="352">
        <f t="shared" si="20"/>
        <v>-357670.8745770441</v>
      </c>
      <c r="G71" s="352">
        <f t="shared" si="20"/>
        <v>-373239.23554927995</v>
      </c>
      <c r="H71" s="352">
        <f t="shared" si="20"/>
        <v>-389461.46768234973</v>
      </c>
      <c r="I71" s="352">
        <f t="shared" si="20"/>
        <v>-406365.03356500843</v>
      </c>
      <c r="J71" s="352">
        <f t="shared" si="20"/>
        <v>-423978.54921473889</v>
      </c>
      <c r="K71" s="352">
        <f t="shared" si="20"/>
        <v>-442331.83252175787</v>
      </c>
      <c r="L71" s="352">
        <f t="shared" si="20"/>
        <v>-461455.95372767182</v>
      </c>
      <c r="M71" s="352">
        <f t="shared" si="20"/>
        <v>-481383.28802423395</v>
      </c>
      <c r="N71" s="352">
        <f t="shared" si="20"/>
        <v>-502147.57036125188</v>
      </c>
      <c r="O71" s="352">
        <f t="shared" si="20"/>
        <v>-523783.95255642442</v>
      </c>
      <c r="P71" s="352">
        <f t="shared" si="20"/>
        <v>-546329.06280379428</v>
      </c>
      <c r="Q71" s="352">
        <f t="shared" si="20"/>
        <v>-569821.06768155366</v>
      </c>
      <c r="R71" s="352">
        <f t="shared" si="20"/>
        <v>-594299.73676417896</v>
      </c>
      <c r="S71" s="352">
        <f t="shared" si="20"/>
        <v>-619806.50994827447</v>
      </c>
      <c r="T71" s="352">
        <f t="shared" si="20"/>
        <v>-646384.56760610209</v>
      </c>
      <c r="U71" s="352">
        <f t="shared" si="20"/>
        <v>-674078.90368555835</v>
      </c>
      <c r="V71" s="352">
        <f t="shared" si="20"/>
        <v>-702936.40188035183</v>
      </c>
      <c r="W71" s="352">
        <f t="shared" si="20"/>
        <v>-733005.91499932669</v>
      </c>
      <c r="X71" s="352">
        <f t="shared" si="20"/>
        <v>-764338.34766929829</v>
      </c>
      <c r="Y71" s="352">
        <f t="shared" si="20"/>
        <v>-796986.74251140887</v>
      </c>
      <c r="Z71" s="352">
        <f t="shared" si="20"/>
        <v>-831006.36993688811</v>
      </c>
      <c r="AA71" s="352">
        <f t="shared" si="20"/>
        <v>-866454.82171423733</v>
      </c>
      <c r="AB71" s="352">
        <f t="shared" si="20"/>
        <v>-903392.10846623546</v>
      </c>
      <c r="AC71" s="352">
        <f t="shared" si="20"/>
        <v>-941880.7612618173</v>
      </c>
      <c r="AD71" s="352">
        <f t="shared" si="20"/>
        <v>-981985.93747481378</v>
      </c>
      <c r="AE71" s="352">
        <f t="shared" si="20"/>
        <v>-1023775.5310887559</v>
      </c>
      <c r="AF71" s="352">
        <f t="shared" si="20"/>
        <v>-1067320.287634484</v>
      </c>
      <c r="AG71" s="352">
        <f t="shared" si="20"/>
        <v>-1112693.9239551323</v>
      </c>
      <c r="AH71" s="352">
        <f t="shared" si="20"/>
        <v>-1159973.2530012475</v>
      </c>
      <c r="AI71" s="352">
        <f t="shared" si="20"/>
        <v>-1209238.3138673001</v>
      </c>
      <c r="AJ71" s="352">
        <f t="shared" si="20"/>
        <v>-1260572.5072897268</v>
      </c>
      <c r="AK71" s="352">
        <f t="shared" si="20"/>
        <v>-1314062.7368358951</v>
      </c>
      <c r="AL71" s="352">
        <f t="shared" si="20"/>
        <v>-1369799.5560230026</v>
      </c>
      <c r="AM71" s="352">
        <f t="shared" si="20"/>
        <v>-1427877.3216159691</v>
      </c>
      <c r="AN71" s="352">
        <f t="shared" si="20"/>
        <v>-1488394.3533638399</v>
      </c>
      <c r="AO71" s="352">
        <f t="shared" si="20"/>
        <v>-1551453.1004451215</v>
      </c>
      <c r="AP71" s="352">
        <f t="shared" si="20"/>
        <v>-1617160.3149038164</v>
      </c>
    </row>
    <row r="72" spans="1:45" ht="15" thickBot="1" x14ac:dyDescent="0.25">
      <c r="A72" s="223" t="s">
        <v>310</v>
      </c>
      <c r="B72" s="224">
        <f t="shared" ref="B72:AO72" si="21">B70+B71</f>
        <v>1586975.96</v>
      </c>
      <c r="C72" s="224">
        <f t="shared" si="21"/>
        <v>368361.93145009485</v>
      </c>
      <c r="D72" s="224">
        <f t="shared" si="21"/>
        <v>842869.74826173333</v>
      </c>
      <c r="E72" s="224">
        <f t="shared" si="21"/>
        <v>1370920.1164569831</v>
      </c>
      <c r="F72" s="224">
        <f t="shared" si="21"/>
        <v>1430683.4983081764</v>
      </c>
      <c r="G72" s="224">
        <f t="shared" si="21"/>
        <v>1492956.9421971196</v>
      </c>
      <c r="H72" s="224">
        <f t="shared" si="21"/>
        <v>1557845.8707293987</v>
      </c>
      <c r="I72" s="224">
        <f t="shared" si="21"/>
        <v>1625460.1342600337</v>
      </c>
      <c r="J72" s="224">
        <f t="shared" si="21"/>
        <v>1695914.1968589555</v>
      </c>
      <c r="K72" s="224">
        <f t="shared" si="21"/>
        <v>1769327.3300870315</v>
      </c>
      <c r="L72" s="224">
        <f t="shared" si="21"/>
        <v>1845823.814910687</v>
      </c>
      <c r="M72" s="224">
        <f t="shared" si="21"/>
        <v>1925533.1520969358</v>
      </c>
      <c r="N72" s="224">
        <f t="shared" si="21"/>
        <v>2008590.2814450073</v>
      </c>
      <c r="O72" s="224">
        <f t="shared" si="21"/>
        <v>2095135.8102256977</v>
      </c>
      <c r="P72" s="224">
        <f t="shared" si="21"/>
        <v>2185316.2512151771</v>
      </c>
      <c r="Q72" s="224">
        <f t="shared" si="21"/>
        <v>2279284.2707262142</v>
      </c>
      <c r="R72" s="224">
        <f t="shared" si="21"/>
        <v>2377198.9470567158</v>
      </c>
      <c r="S72" s="224">
        <f t="shared" si="21"/>
        <v>2479226.0397930974</v>
      </c>
      <c r="T72" s="224">
        <f t="shared" si="21"/>
        <v>2585538.2704244079</v>
      </c>
      <c r="U72" s="224">
        <f t="shared" si="21"/>
        <v>2696315.6147422334</v>
      </c>
      <c r="V72" s="224">
        <f t="shared" si="21"/>
        <v>2811745.6075214068</v>
      </c>
      <c r="W72" s="224">
        <f t="shared" si="21"/>
        <v>2932023.6599973063</v>
      </c>
      <c r="X72" s="224">
        <f t="shared" si="21"/>
        <v>3057353.3906771932</v>
      </c>
      <c r="Y72" s="224">
        <f t="shared" si="21"/>
        <v>3187946.9700456355</v>
      </c>
      <c r="Z72" s="224">
        <f t="shared" si="21"/>
        <v>3324025.479747552</v>
      </c>
      <c r="AA72" s="224">
        <f t="shared" si="21"/>
        <v>3465819.2868569493</v>
      </c>
      <c r="AB72" s="224">
        <f t="shared" si="21"/>
        <v>3613568.4338649414</v>
      </c>
      <c r="AC72" s="224">
        <f t="shared" si="21"/>
        <v>3767523.0450472692</v>
      </c>
      <c r="AD72" s="224">
        <f t="shared" si="21"/>
        <v>3927943.7498992546</v>
      </c>
      <c r="AE72" s="224">
        <f t="shared" si="21"/>
        <v>4095102.1243550233</v>
      </c>
      <c r="AF72" s="224">
        <f t="shared" si="21"/>
        <v>4269281.150537936</v>
      </c>
      <c r="AG72" s="224">
        <f t="shared" si="21"/>
        <v>4450775.695820529</v>
      </c>
      <c r="AH72" s="224">
        <f t="shared" si="21"/>
        <v>4639893.0120049901</v>
      </c>
      <c r="AI72" s="224">
        <f t="shared" si="21"/>
        <v>4836953.2554692002</v>
      </c>
      <c r="AJ72" s="224">
        <f t="shared" si="21"/>
        <v>5042290.029158907</v>
      </c>
      <c r="AK72" s="224">
        <f t="shared" si="21"/>
        <v>5256250.9473435804</v>
      </c>
      <c r="AL72" s="224">
        <f t="shared" si="21"/>
        <v>5479198.2240920104</v>
      </c>
      <c r="AM72" s="224">
        <f t="shared" si="21"/>
        <v>5711509.2864638763</v>
      </c>
      <c r="AN72" s="224">
        <f t="shared" si="21"/>
        <v>5953577.4134553587</v>
      </c>
      <c r="AO72" s="224">
        <f t="shared" si="21"/>
        <v>6205812.4017804852</v>
      </c>
      <c r="AP72" s="224">
        <f>AP70+AP71</f>
        <v>6468641.2596152658</v>
      </c>
    </row>
    <row r="73" spans="1:45" s="226" customFormat="1" ht="16.5" thickBot="1" x14ac:dyDescent="0.25">
      <c r="A73" s="214"/>
      <c r="B73" s="225">
        <f>E141</f>
        <v>1.5</v>
      </c>
      <c r="C73" s="225">
        <f t="shared" ref="C73:AP73" si="22">F141</f>
        <v>2.5</v>
      </c>
      <c r="D73" s="225">
        <f t="shared" si="22"/>
        <v>3.5</v>
      </c>
      <c r="E73" s="225">
        <f t="shared" si="22"/>
        <v>4.5</v>
      </c>
      <c r="F73" s="225">
        <f t="shared" si="22"/>
        <v>5.5</v>
      </c>
      <c r="G73" s="225">
        <f t="shared" si="22"/>
        <v>6.5</v>
      </c>
      <c r="H73" s="225">
        <f t="shared" si="22"/>
        <v>7.5</v>
      </c>
      <c r="I73" s="225">
        <f t="shared" si="22"/>
        <v>8.5</v>
      </c>
      <c r="J73" s="225">
        <f t="shared" si="22"/>
        <v>9.5</v>
      </c>
      <c r="K73" s="225">
        <f t="shared" si="22"/>
        <v>10.5</v>
      </c>
      <c r="L73" s="225">
        <f t="shared" si="22"/>
        <v>11.5</v>
      </c>
      <c r="M73" s="225">
        <f t="shared" si="22"/>
        <v>12.5</v>
      </c>
      <c r="N73" s="225">
        <f t="shared" si="22"/>
        <v>13.5</v>
      </c>
      <c r="O73" s="225">
        <f t="shared" si="22"/>
        <v>14.5</v>
      </c>
      <c r="P73" s="225">
        <f t="shared" si="22"/>
        <v>15.5</v>
      </c>
      <c r="Q73" s="225">
        <f t="shared" si="22"/>
        <v>16.5</v>
      </c>
      <c r="R73" s="225">
        <f t="shared" si="22"/>
        <v>17.5</v>
      </c>
      <c r="S73" s="225">
        <f t="shared" si="22"/>
        <v>18.5</v>
      </c>
      <c r="T73" s="225">
        <f t="shared" si="22"/>
        <v>19.5</v>
      </c>
      <c r="U73" s="225">
        <f t="shared" si="22"/>
        <v>20.5</v>
      </c>
      <c r="V73" s="225">
        <f t="shared" si="22"/>
        <v>21.5</v>
      </c>
      <c r="W73" s="225">
        <f t="shared" si="22"/>
        <v>22.5</v>
      </c>
      <c r="X73" s="225">
        <f t="shared" si="22"/>
        <v>23.5</v>
      </c>
      <c r="Y73" s="225">
        <f t="shared" si="22"/>
        <v>24.5</v>
      </c>
      <c r="Z73" s="225">
        <f t="shared" si="22"/>
        <v>25.5</v>
      </c>
      <c r="AA73" s="225">
        <f t="shared" si="22"/>
        <v>26.5</v>
      </c>
      <c r="AB73" s="225">
        <f t="shared" si="22"/>
        <v>27.5</v>
      </c>
      <c r="AC73" s="225">
        <f t="shared" si="22"/>
        <v>28.5</v>
      </c>
      <c r="AD73" s="225">
        <f t="shared" si="22"/>
        <v>29.5</v>
      </c>
      <c r="AE73" s="225">
        <f t="shared" si="22"/>
        <v>30.5</v>
      </c>
      <c r="AF73" s="225">
        <f t="shared" si="22"/>
        <v>31.5</v>
      </c>
      <c r="AG73" s="225">
        <f t="shared" si="22"/>
        <v>32.5</v>
      </c>
      <c r="AH73" s="225">
        <f t="shared" si="22"/>
        <v>33.5</v>
      </c>
      <c r="AI73" s="225">
        <f t="shared" si="22"/>
        <v>34.5</v>
      </c>
      <c r="AJ73" s="225">
        <f t="shared" si="22"/>
        <v>35.5</v>
      </c>
      <c r="AK73" s="225">
        <f t="shared" si="22"/>
        <v>36.5</v>
      </c>
      <c r="AL73" s="225">
        <f t="shared" si="22"/>
        <v>37.5</v>
      </c>
      <c r="AM73" s="225">
        <f t="shared" si="22"/>
        <v>38.5</v>
      </c>
      <c r="AN73" s="225">
        <f t="shared" si="22"/>
        <v>39.5</v>
      </c>
      <c r="AO73" s="225">
        <f t="shared" si="22"/>
        <v>40.5</v>
      </c>
      <c r="AP73" s="225">
        <f t="shared" si="22"/>
        <v>41.5</v>
      </c>
      <c r="AQ73" s="171"/>
      <c r="AR73" s="171"/>
      <c r="AS73" s="171"/>
    </row>
    <row r="74" spans="1:45" x14ac:dyDescent="0.2">
      <c r="A74" s="209" t="s">
        <v>309</v>
      </c>
      <c r="B74" s="210">
        <f t="shared" ref="B74:AO74" si="23">B58</f>
        <v>1</v>
      </c>
      <c r="C74" s="210">
        <f t="shared" si="23"/>
        <v>2</v>
      </c>
      <c r="D74" s="210">
        <f t="shared" si="23"/>
        <v>3</v>
      </c>
      <c r="E74" s="210">
        <f t="shared" si="23"/>
        <v>4</v>
      </c>
      <c r="F74" s="210">
        <f t="shared" si="23"/>
        <v>5</v>
      </c>
      <c r="G74" s="210">
        <f t="shared" si="23"/>
        <v>6</v>
      </c>
      <c r="H74" s="210">
        <f t="shared" si="23"/>
        <v>7</v>
      </c>
      <c r="I74" s="210">
        <f t="shared" si="23"/>
        <v>8</v>
      </c>
      <c r="J74" s="210">
        <f t="shared" si="23"/>
        <v>9</v>
      </c>
      <c r="K74" s="210">
        <f t="shared" si="23"/>
        <v>10</v>
      </c>
      <c r="L74" s="210">
        <f t="shared" si="23"/>
        <v>11</v>
      </c>
      <c r="M74" s="210">
        <f t="shared" si="23"/>
        <v>12</v>
      </c>
      <c r="N74" s="210">
        <f t="shared" si="23"/>
        <v>13</v>
      </c>
      <c r="O74" s="210">
        <f t="shared" si="23"/>
        <v>14</v>
      </c>
      <c r="P74" s="210">
        <f t="shared" si="23"/>
        <v>15</v>
      </c>
      <c r="Q74" s="210">
        <f t="shared" si="23"/>
        <v>16</v>
      </c>
      <c r="R74" s="210">
        <f t="shared" si="23"/>
        <v>17</v>
      </c>
      <c r="S74" s="210">
        <f t="shared" si="23"/>
        <v>18</v>
      </c>
      <c r="T74" s="210">
        <f t="shared" si="23"/>
        <v>19</v>
      </c>
      <c r="U74" s="210">
        <f t="shared" si="23"/>
        <v>20</v>
      </c>
      <c r="V74" s="210">
        <f t="shared" si="23"/>
        <v>21</v>
      </c>
      <c r="W74" s="210">
        <f t="shared" si="23"/>
        <v>22</v>
      </c>
      <c r="X74" s="210">
        <f t="shared" si="23"/>
        <v>23</v>
      </c>
      <c r="Y74" s="210">
        <f t="shared" si="23"/>
        <v>24</v>
      </c>
      <c r="Z74" s="210">
        <f t="shared" si="23"/>
        <v>25</v>
      </c>
      <c r="AA74" s="210">
        <f t="shared" si="23"/>
        <v>26</v>
      </c>
      <c r="AB74" s="210">
        <f t="shared" si="23"/>
        <v>27</v>
      </c>
      <c r="AC74" s="210">
        <f t="shared" si="23"/>
        <v>28</v>
      </c>
      <c r="AD74" s="210">
        <f t="shared" si="23"/>
        <v>29</v>
      </c>
      <c r="AE74" s="210">
        <f t="shared" si="23"/>
        <v>30</v>
      </c>
      <c r="AF74" s="210">
        <f t="shared" si="23"/>
        <v>31</v>
      </c>
      <c r="AG74" s="210">
        <f t="shared" si="23"/>
        <v>32</v>
      </c>
      <c r="AH74" s="210">
        <f t="shared" si="23"/>
        <v>33</v>
      </c>
      <c r="AI74" s="210">
        <f t="shared" si="23"/>
        <v>34</v>
      </c>
      <c r="AJ74" s="210">
        <f t="shared" si="23"/>
        <v>35</v>
      </c>
      <c r="AK74" s="210">
        <f t="shared" si="23"/>
        <v>36</v>
      </c>
      <c r="AL74" s="210">
        <f t="shared" si="23"/>
        <v>37</v>
      </c>
      <c r="AM74" s="210">
        <f t="shared" si="23"/>
        <v>38</v>
      </c>
      <c r="AN74" s="210">
        <f t="shared" si="23"/>
        <v>39</v>
      </c>
      <c r="AO74" s="210">
        <f t="shared" si="23"/>
        <v>40</v>
      </c>
      <c r="AP74" s="210">
        <f>AP58</f>
        <v>41</v>
      </c>
    </row>
    <row r="75" spans="1:45" ht="28.5" x14ac:dyDescent="0.2">
      <c r="A75" s="217" t="s">
        <v>308</v>
      </c>
      <c r="B75" s="353">
        <f t="shared" ref="B75:AO75" si="24">B68</f>
        <v>1983719.95</v>
      </c>
      <c r="C75" s="353">
        <f t="shared" si="24"/>
        <v>460452.41431261855</v>
      </c>
      <c r="D75" s="353">
        <f>D68</f>
        <v>1053587.1853271667</v>
      </c>
      <c r="E75" s="353">
        <f t="shared" si="24"/>
        <v>1713650.1455712288</v>
      </c>
      <c r="F75" s="353">
        <f t="shared" si="24"/>
        <v>1788354.3728852205</v>
      </c>
      <c r="G75" s="353">
        <f t="shared" si="24"/>
        <v>1866196.1777463995</v>
      </c>
      <c r="H75" s="353">
        <f t="shared" si="24"/>
        <v>1947307.3384117484</v>
      </c>
      <c r="I75" s="353">
        <f t="shared" si="24"/>
        <v>2031825.167825042</v>
      </c>
      <c r="J75" s="353">
        <f t="shared" si="24"/>
        <v>2119892.7460736944</v>
      </c>
      <c r="K75" s="353">
        <f t="shared" si="24"/>
        <v>2211659.1626087893</v>
      </c>
      <c r="L75" s="353">
        <f t="shared" si="24"/>
        <v>2307279.7686383589</v>
      </c>
      <c r="M75" s="353">
        <f t="shared" si="24"/>
        <v>2406916.4401211697</v>
      </c>
      <c r="N75" s="353">
        <f t="shared" si="24"/>
        <v>2510737.8518062592</v>
      </c>
      <c r="O75" s="353">
        <f t="shared" si="24"/>
        <v>2618919.762782122</v>
      </c>
      <c r="P75" s="353">
        <f t="shared" si="24"/>
        <v>2731645.3140189713</v>
      </c>
      <c r="Q75" s="353">
        <f t="shared" si="24"/>
        <v>2849105.3384077679</v>
      </c>
      <c r="R75" s="353">
        <f t="shared" si="24"/>
        <v>2971498.6838208949</v>
      </c>
      <c r="S75" s="353">
        <f t="shared" si="24"/>
        <v>3099032.549741372</v>
      </c>
      <c r="T75" s="353">
        <f t="shared" si="24"/>
        <v>3231922.8380305101</v>
      </c>
      <c r="U75" s="353">
        <f t="shared" si="24"/>
        <v>3370394.5184277915</v>
      </c>
      <c r="V75" s="353">
        <f t="shared" si="24"/>
        <v>3514682.0094017587</v>
      </c>
      <c r="W75" s="353">
        <f t="shared" si="24"/>
        <v>3665029.574996633</v>
      </c>
      <c r="X75" s="353">
        <f t="shared" si="24"/>
        <v>3821691.7383464915</v>
      </c>
      <c r="Y75" s="353">
        <f t="shared" si="24"/>
        <v>3984933.7125570443</v>
      </c>
      <c r="Z75" s="353">
        <f t="shared" si="24"/>
        <v>4155031.8496844401</v>
      </c>
      <c r="AA75" s="353">
        <f t="shared" si="24"/>
        <v>4332274.1085711867</v>
      </c>
      <c r="AB75" s="353">
        <f t="shared" si="24"/>
        <v>4516960.5423311768</v>
      </c>
      <c r="AC75" s="353">
        <f t="shared" si="24"/>
        <v>4709403.8063090863</v>
      </c>
      <c r="AD75" s="353">
        <f t="shared" si="24"/>
        <v>4909929.6873740684</v>
      </c>
      <c r="AE75" s="353">
        <f t="shared" si="24"/>
        <v>5118877.6554437792</v>
      </c>
      <c r="AF75" s="353">
        <f t="shared" si="24"/>
        <v>5336601.4381724196</v>
      </c>
      <c r="AG75" s="353">
        <f t="shared" si="24"/>
        <v>5563469.6197756613</v>
      </c>
      <c r="AH75" s="353">
        <f t="shared" si="24"/>
        <v>5799866.2650062377</v>
      </c>
      <c r="AI75" s="353">
        <f t="shared" si="24"/>
        <v>6046191.5693365</v>
      </c>
      <c r="AJ75" s="353">
        <f t="shared" si="24"/>
        <v>6302862.5364486333</v>
      </c>
      <c r="AK75" s="353">
        <f t="shared" si="24"/>
        <v>6570313.6841794755</v>
      </c>
      <c r="AL75" s="353">
        <f t="shared" si="24"/>
        <v>6848997.780115013</v>
      </c>
      <c r="AM75" s="353">
        <f t="shared" si="24"/>
        <v>7139386.6080798451</v>
      </c>
      <c r="AN75" s="353">
        <f t="shared" si="24"/>
        <v>7441971.7668191986</v>
      </c>
      <c r="AO75" s="353">
        <f t="shared" si="24"/>
        <v>7757265.5022256067</v>
      </c>
      <c r="AP75" s="353">
        <f>AP68</f>
        <v>8085801.574519082</v>
      </c>
    </row>
    <row r="76" spans="1:45" x14ac:dyDescent="0.2">
      <c r="A76" s="218" t="s">
        <v>307</v>
      </c>
      <c r="B76" s="352">
        <f t="shared" ref="B76:AO76" si="25">-B67</f>
        <v>0</v>
      </c>
      <c r="C76" s="352">
        <f>-C67</f>
        <v>65021.933333333334</v>
      </c>
      <c r="D76" s="352">
        <f t="shared" si="25"/>
        <v>65021.933333333334</v>
      </c>
      <c r="E76" s="352">
        <f t="shared" si="25"/>
        <v>65021.933333333334</v>
      </c>
      <c r="F76" s="352">
        <f>-C67</f>
        <v>65021.933333333334</v>
      </c>
      <c r="G76" s="352">
        <f t="shared" si="25"/>
        <v>65021.933333333334</v>
      </c>
      <c r="H76" s="352">
        <f t="shared" si="25"/>
        <v>65021.933333333334</v>
      </c>
      <c r="I76" s="352">
        <f t="shared" si="25"/>
        <v>65021.933333333334</v>
      </c>
      <c r="J76" s="352">
        <f t="shared" si="25"/>
        <v>65021.933333333334</v>
      </c>
      <c r="K76" s="352">
        <f t="shared" si="25"/>
        <v>65021.933333333334</v>
      </c>
      <c r="L76" s="352">
        <f>-L67</f>
        <v>65021.933333333334</v>
      </c>
      <c r="M76" s="352">
        <f>-M67</f>
        <v>65021.933333333334</v>
      </c>
      <c r="N76" s="352">
        <f t="shared" si="25"/>
        <v>65021.933333333334</v>
      </c>
      <c r="O76" s="352">
        <f t="shared" si="25"/>
        <v>65021.933333333334</v>
      </c>
      <c r="P76" s="352">
        <f t="shared" si="25"/>
        <v>65021.933333333334</v>
      </c>
      <c r="Q76" s="352">
        <f t="shared" si="25"/>
        <v>65021.933333333334</v>
      </c>
      <c r="R76" s="352">
        <f t="shared" si="25"/>
        <v>65021.933333333334</v>
      </c>
      <c r="S76" s="352">
        <f t="shared" si="25"/>
        <v>65021.933333333334</v>
      </c>
      <c r="T76" s="352">
        <f t="shared" si="25"/>
        <v>65021.933333333334</v>
      </c>
      <c r="U76" s="352">
        <f t="shared" si="25"/>
        <v>65021.933333333334</v>
      </c>
      <c r="V76" s="352">
        <f t="shared" si="25"/>
        <v>65021.933333333334</v>
      </c>
      <c r="W76" s="352">
        <f t="shared" si="25"/>
        <v>65021.933333333334</v>
      </c>
      <c r="X76" s="352">
        <f t="shared" si="25"/>
        <v>65021.933333333334</v>
      </c>
      <c r="Y76" s="352">
        <f t="shared" si="25"/>
        <v>65021.933333333334</v>
      </c>
      <c r="Z76" s="352">
        <f t="shared" si="25"/>
        <v>65021.933333333334</v>
      </c>
      <c r="AA76" s="352">
        <f t="shared" si="25"/>
        <v>65021.933333333334</v>
      </c>
      <c r="AB76" s="352">
        <f t="shared" si="25"/>
        <v>65021.933333333334</v>
      </c>
      <c r="AC76" s="352">
        <f t="shared" si="25"/>
        <v>65021.933333333334</v>
      </c>
      <c r="AD76" s="352">
        <f t="shared" si="25"/>
        <v>65021.933333333334</v>
      </c>
      <c r="AE76" s="352">
        <f t="shared" si="25"/>
        <v>65021.933333333334</v>
      </c>
      <c r="AF76" s="352">
        <f t="shared" si="25"/>
        <v>65021.933333333334</v>
      </c>
      <c r="AG76" s="352">
        <f t="shared" si="25"/>
        <v>65021.933333333334</v>
      </c>
      <c r="AH76" s="352">
        <f t="shared" si="25"/>
        <v>65021.933333333334</v>
      </c>
      <c r="AI76" s="352">
        <f t="shared" si="25"/>
        <v>65021.933333333334</v>
      </c>
      <c r="AJ76" s="352">
        <f t="shared" si="25"/>
        <v>65021.933333333334</v>
      </c>
      <c r="AK76" s="352">
        <f t="shared" si="25"/>
        <v>65021.933333333334</v>
      </c>
      <c r="AL76" s="352">
        <f t="shared" si="25"/>
        <v>65021.933333333334</v>
      </c>
      <c r="AM76" s="352">
        <f t="shared" si="25"/>
        <v>65021.933333333334</v>
      </c>
      <c r="AN76" s="352">
        <f t="shared" si="25"/>
        <v>65021.933333333334</v>
      </c>
      <c r="AO76" s="352">
        <f t="shared" si="25"/>
        <v>65021.933333333334</v>
      </c>
      <c r="AP76" s="352">
        <f>-AP67</f>
        <v>65021.933333333334</v>
      </c>
    </row>
    <row r="77" spans="1:45" x14ac:dyDescent="0.2">
      <c r="A77" s="218" t="s">
        <v>306</v>
      </c>
      <c r="B77" s="352">
        <f t="shared" ref="B77:AO77" si="26">B69</f>
        <v>0</v>
      </c>
      <c r="C77" s="352">
        <f t="shared" si="26"/>
        <v>0</v>
      </c>
      <c r="D77" s="352">
        <f t="shared" si="26"/>
        <v>0</v>
      </c>
      <c r="E77" s="352">
        <f t="shared" si="26"/>
        <v>0</v>
      </c>
      <c r="F77" s="352">
        <f t="shared" si="26"/>
        <v>0</v>
      </c>
      <c r="G77" s="352">
        <f t="shared" si="26"/>
        <v>0</v>
      </c>
      <c r="H77" s="352">
        <f t="shared" si="26"/>
        <v>0</v>
      </c>
      <c r="I77" s="352">
        <f t="shared" si="26"/>
        <v>0</v>
      </c>
      <c r="J77" s="352">
        <f t="shared" si="26"/>
        <v>0</v>
      </c>
      <c r="K77" s="352">
        <f t="shared" si="26"/>
        <v>0</v>
      </c>
      <c r="L77" s="352">
        <f t="shared" si="26"/>
        <v>0</v>
      </c>
      <c r="M77" s="352">
        <f t="shared" si="26"/>
        <v>0</v>
      </c>
      <c r="N77" s="352">
        <f t="shared" si="26"/>
        <v>0</v>
      </c>
      <c r="O77" s="352">
        <f t="shared" si="26"/>
        <v>0</v>
      </c>
      <c r="P77" s="352">
        <f t="shared" si="26"/>
        <v>0</v>
      </c>
      <c r="Q77" s="352">
        <f t="shared" si="26"/>
        <v>0</v>
      </c>
      <c r="R77" s="352">
        <f t="shared" si="26"/>
        <v>0</v>
      </c>
      <c r="S77" s="352">
        <f t="shared" si="26"/>
        <v>0</v>
      </c>
      <c r="T77" s="352">
        <f t="shared" si="26"/>
        <v>0</v>
      </c>
      <c r="U77" s="352">
        <f t="shared" si="26"/>
        <v>0</v>
      </c>
      <c r="V77" s="352">
        <f t="shared" si="26"/>
        <v>0</v>
      </c>
      <c r="W77" s="352">
        <f t="shared" si="26"/>
        <v>0</v>
      </c>
      <c r="X77" s="352">
        <f t="shared" si="26"/>
        <v>0</v>
      </c>
      <c r="Y77" s="352">
        <f t="shared" si="26"/>
        <v>0</v>
      </c>
      <c r="Z77" s="352">
        <f t="shared" si="26"/>
        <v>0</v>
      </c>
      <c r="AA77" s="352">
        <f t="shared" si="26"/>
        <v>0</v>
      </c>
      <c r="AB77" s="352">
        <f t="shared" si="26"/>
        <v>0</v>
      </c>
      <c r="AC77" s="352">
        <f t="shared" si="26"/>
        <v>0</v>
      </c>
      <c r="AD77" s="352">
        <f t="shared" si="26"/>
        <v>0</v>
      </c>
      <c r="AE77" s="352">
        <f t="shared" si="26"/>
        <v>0</v>
      </c>
      <c r="AF77" s="352">
        <f t="shared" si="26"/>
        <v>0</v>
      </c>
      <c r="AG77" s="352">
        <f t="shared" si="26"/>
        <v>0</v>
      </c>
      <c r="AH77" s="352">
        <f t="shared" si="26"/>
        <v>0</v>
      </c>
      <c r="AI77" s="352">
        <f t="shared" si="26"/>
        <v>0</v>
      </c>
      <c r="AJ77" s="352">
        <f t="shared" si="26"/>
        <v>0</v>
      </c>
      <c r="AK77" s="352">
        <f t="shared" si="26"/>
        <v>0</v>
      </c>
      <c r="AL77" s="352">
        <f t="shared" si="26"/>
        <v>0</v>
      </c>
      <c r="AM77" s="352">
        <f t="shared" si="26"/>
        <v>0</v>
      </c>
      <c r="AN77" s="352">
        <f t="shared" si="26"/>
        <v>0</v>
      </c>
      <c r="AO77" s="352">
        <f t="shared" si="26"/>
        <v>0</v>
      </c>
      <c r="AP77" s="352">
        <f>AP69</f>
        <v>0</v>
      </c>
    </row>
    <row r="78" spans="1:45" x14ac:dyDescent="0.2">
      <c r="A78" s="218" t="s">
        <v>305</v>
      </c>
      <c r="B78" s="352">
        <f>IF(SUM($B$71:B71)+SUM($A$78:A78)&gt;0,0,SUM($B$71:B71)-SUM($A$78:A78))</f>
        <v>-396743.99</v>
      </c>
      <c r="C78" s="352">
        <f>IF(SUM($B$71:C71)+SUM($A$78:B78)&gt;0,0,SUM($B$71:C71)-SUM($A$78:B78))</f>
        <v>-92090.482862523699</v>
      </c>
      <c r="D78" s="352">
        <f>IF(SUM($B$71:D71)+SUM($A$78:C78)&gt;0,0,SUM($B$71:D71)-SUM($A$78:C78))</f>
        <v>-210717.4370654333</v>
      </c>
      <c r="E78" s="352">
        <f>IF(SUM($B$71:E71)+SUM($A$78:D78)&gt;0,0,SUM($B$71:E71)-SUM($A$78:D78))</f>
        <v>-342730.02911424579</v>
      </c>
      <c r="F78" s="352">
        <f>IF(SUM($B$71:F71)+SUM($A$78:E78)&gt;0,0,SUM($B$71:F71)-SUM($A$78:E78))</f>
        <v>-357670.87457704416</v>
      </c>
      <c r="G78" s="352">
        <f>IF(SUM($B$71:G71)+SUM($A$78:F78)&gt;0,0,SUM($B$71:G71)-SUM($A$78:F78))</f>
        <v>-373239.23554927995</v>
      </c>
      <c r="H78" s="352">
        <f>IF(SUM($B$71:H71)+SUM($A$78:G78)&gt;0,0,SUM($B$71:H71)-SUM($A$78:G78))</f>
        <v>-389461.46768234973</v>
      </c>
      <c r="I78" s="352">
        <f>IF(SUM($B$71:I71)+SUM($A$78:H78)&gt;0,0,SUM($B$71:I71)-SUM($A$78:H78))</f>
        <v>-406365.03356500855</v>
      </c>
      <c r="J78" s="352">
        <f>IF(SUM($B$71:J71)+SUM($A$78:I78)&gt;0,0,SUM($B$71:J71)-SUM($A$78:I78))</f>
        <v>-423978.54921473889</v>
      </c>
      <c r="K78" s="352">
        <f>IF(SUM($B$71:K71)+SUM($A$78:J78)&gt;0,0,SUM($B$71:K71)-SUM($A$78:J78))</f>
        <v>-442331.83252175804</v>
      </c>
      <c r="L78" s="352">
        <f>IF(SUM($B$71:L71)+SUM($A$78:K78)&gt;0,0,SUM($B$71:L71)-SUM($A$78:K78))</f>
        <v>-461455.95372767188</v>
      </c>
      <c r="M78" s="352">
        <f>IF(SUM($B$71:M71)+SUM($A$78:L78)&gt;0,0,SUM($B$71:M71)-SUM($A$78:L78))</f>
        <v>-481383.28802423365</v>
      </c>
      <c r="N78" s="352">
        <f>IF(SUM($B$71:N71)+SUM($A$78:M78)&gt;0,0,SUM($B$71:N71)-SUM($A$78:M78))</f>
        <v>-502147.57036125194</v>
      </c>
      <c r="O78" s="352">
        <f>IF(SUM($B$71:O71)+SUM($A$78:N78)&gt;0,0,SUM($B$71:O71)-SUM($A$78:N78))</f>
        <v>-523783.95255642477</v>
      </c>
      <c r="P78" s="352">
        <f>IF(SUM($B$71:P71)+SUM($A$78:O78)&gt;0,0,SUM($B$71:P71)-SUM($A$78:O78))</f>
        <v>-546329.06280379463</v>
      </c>
      <c r="Q78" s="352">
        <f>IF(SUM($B$71:Q71)+SUM($A$78:P78)&gt;0,0,SUM($B$71:Q71)-SUM($A$78:P78))</f>
        <v>-569821.06768155377</v>
      </c>
      <c r="R78" s="352">
        <f>IF(SUM($B$71:R71)+SUM($A$78:Q78)&gt;0,0,SUM($B$71:R71)-SUM($A$78:Q78))</f>
        <v>-594299.73676417861</v>
      </c>
      <c r="S78" s="352">
        <f>IF(SUM($B$71:S71)+SUM($A$78:R78)&gt;0,0,SUM($B$71:S71)-SUM($A$78:R78))</f>
        <v>-619806.50994827412</v>
      </c>
      <c r="T78" s="352">
        <f>IF(SUM($B$71:T71)+SUM($A$78:S78)&gt;0,0,SUM($B$71:T71)-SUM($A$78:S78))</f>
        <v>-646384.56760610174</v>
      </c>
      <c r="U78" s="352">
        <f>IF(SUM($B$71:U71)+SUM($A$78:T78)&gt;0,0,SUM($B$71:U71)-SUM($A$78:T78))</f>
        <v>-674078.90368555766</v>
      </c>
      <c r="V78" s="352">
        <f>IF(SUM($B$71:V71)+SUM($A$78:U78)&gt;0,0,SUM($B$71:V71)-SUM($A$78:U78))</f>
        <v>-702936.40188035183</v>
      </c>
      <c r="W78" s="352">
        <f>IF(SUM($B$71:W71)+SUM($A$78:V78)&gt;0,0,SUM($B$71:W71)-SUM($A$78:V78))</f>
        <v>-733005.91499932669</v>
      </c>
      <c r="X78" s="352">
        <f>IF(SUM($B$71:X71)+SUM($A$78:W78)&gt;0,0,SUM($B$71:X71)-SUM($A$78:W78))</f>
        <v>-764338.34766929783</v>
      </c>
      <c r="Y78" s="352">
        <f>IF(SUM($B$71:Y71)+SUM($A$78:X78)&gt;0,0,SUM($B$71:Y71)-SUM($A$78:X78))</f>
        <v>-796986.7425114084</v>
      </c>
      <c r="Z78" s="352">
        <f>IF(SUM($B$71:Z71)+SUM($A$78:Y78)&gt;0,0,SUM($B$71:Z71)-SUM($A$78:Y78))</f>
        <v>-831006.36993688717</v>
      </c>
      <c r="AA78" s="352">
        <f>IF(SUM($B$71:AA71)+SUM($A$78:Z78)&gt;0,0,SUM($B$71:AA71)-SUM($A$78:Z78))</f>
        <v>-866454.82171423733</v>
      </c>
      <c r="AB78" s="352">
        <f>IF(SUM($B$71:AB71)+SUM($A$78:AA78)&gt;0,0,SUM($B$71:AB71)-SUM($A$78:AA78))</f>
        <v>-903392.10846623592</v>
      </c>
      <c r="AC78" s="352">
        <f>IF(SUM($B$71:AC71)+SUM($A$78:AB78)&gt;0,0,SUM($B$71:AC71)-SUM($A$78:AB78))</f>
        <v>-941880.76126181707</v>
      </c>
      <c r="AD78" s="352">
        <f>IF(SUM($B$71:AD71)+SUM($A$78:AC78)&gt;0,0,SUM($B$71:AD71)-SUM($A$78:AC78))</f>
        <v>-981985.93747481331</v>
      </c>
      <c r="AE78" s="352">
        <f>IF(SUM($B$71:AE71)+SUM($A$78:AD78)&gt;0,0,SUM($B$71:AE71)-SUM($A$78:AD78))</f>
        <v>-1023775.5310887564</v>
      </c>
      <c r="AF78" s="352">
        <f>IF(SUM($B$71:AF71)+SUM($A$78:AE78)&gt;0,0,SUM($B$71:AF71)-SUM($A$78:AE78))</f>
        <v>-1067320.2876344845</v>
      </c>
      <c r="AG78" s="352">
        <f>IF(SUM($B$71:AG71)+SUM($A$78:AF78)&gt;0,0,SUM($B$71:AG71)-SUM($A$78:AF78))</f>
        <v>-1112693.9239551313</v>
      </c>
      <c r="AH78" s="352">
        <f>IF(SUM($B$71:AH71)+SUM($A$78:AG78)&gt;0,0,SUM($B$71:AH71)-SUM($A$78:AG78))</f>
        <v>-1159973.2530012466</v>
      </c>
      <c r="AI78" s="352">
        <f>IF(SUM($B$71:AI71)+SUM($A$78:AH78)&gt;0,0,SUM($B$71:AI71)-SUM($A$78:AH78))</f>
        <v>-1209238.3138673007</v>
      </c>
      <c r="AJ78" s="352">
        <f>IF(SUM($B$71:AJ71)+SUM($A$78:AI78)&gt;0,0,SUM($B$71:AJ71)-SUM($A$78:AI78))</f>
        <v>-1260572.5072897263</v>
      </c>
      <c r="AK78" s="352">
        <f>IF(SUM($B$71:AK71)+SUM($A$78:AJ78)&gt;0,0,SUM($B$71:AK71)-SUM($A$78:AJ78))</f>
        <v>-1314062.7368358932</v>
      </c>
      <c r="AL78" s="352">
        <f>IF(SUM($B$71:AL71)+SUM($A$78:AK78)&gt;0,0,SUM($B$71:AL71)-SUM($A$78:AK78))</f>
        <v>-1369799.5560230017</v>
      </c>
      <c r="AM78" s="352">
        <f>IF(SUM($B$71:AM71)+SUM($A$78:AL78)&gt;0,0,SUM($B$71:AM71)-SUM($A$78:AL78))</f>
        <v>-1427877.3216159679</v>
      </c>
      <c r="AN78" s="352">
        <f>IF(SUM($B$71:AN71)+SUM($A$78:AM78)&gt;0,0,SUM($B$71:AN71)-SUM($A$78:AM78))</f>
        <v>-1488394.353363838</v>
      </c>
      <c r="AO78" s="352">
        <f>IF(SUM($B$71:AO71)+SUM($A$78:AN78)&gt;0,0,SUM($B$71:AO71)-SUM($A$78:AN78))</f>
        <v>-1551453.1004451215</v>
      </c>
      <c r="AP78" s="352">
        <f>IF(SUM($B$71:AP71)+SUM($A$78:AO78)&gt;0,0,SUM($B$71:AP71)-SUM($A$78:AO78))</f>
        <v>-1617160.3149038181</v>
      </c>
    </row>
    <row r="79" spans="1:45" x14ac:dyDescent="0.2">
      <c r="A79" s="218" t="s">
        <v>304</v>
      </c>
      <c r="B79" s="352">
        <f>IF(((SUM($B$59:B59)+SUM($B$61:B64))+SUM($B$81:B81))&lt;0,((SUM($B$59:B59)+SUM($B$61:B64))+SUM($B$81:B81))*0.18-SUM($A$79:A79),IF(SUM(A$79:$B79)&lt;0,0-SUM(A$79:$B79),0))</f>
        <v>-9.0000000083819021E-3</v>
      </c>
      <c r="C79" s="352">
        <f>IF(((SUM($B$59:C59)+SUM($B$61:C64))+SUM($B$81:C81))&lt;0,((SUM($B$59:C59)+SUM($B$61:C64))+SUM($B$81:C81))*0.18-SUM($A$79:B79),IF(SUM($B$79:B79)&lt;0,0-SUM($B$79:B79),0))</f>
        <v>9.0000000083819021E-3</v>
      </c>
      <c r="D79" s="352">
        <f>IF(((SUM($B$59:D59)+SUM($B$61:D64))+SUM($B$81:D81))&lt;0,((SUM($B$59:D59)+SUM($B$61:D64))+SUM($B$81:D81))*0.18-SUM($A$79:C79),IF(SUM($B$79:C79)&lt;0,0-SUM($B$79:C79),0))</f>
        <v>0</v>
      </c>
      <c r="E79" s="352">
        <f>IF(((SUM($B$59:E59)+SUM($B$61:E64))+SUM($B$81:E81))&lt;0,((SUM($B$59:E59)+SUM($B$61:E64))+SUM($B$81:E81))*0.18-SUM($A$79:D79),IF(SUM($B$79:D79)&lt;0,0-SUM($B$79:D79),0))</f>
        <v>0</v>
      </c>
      <c r="F79" s="352">
        <f>IF(((SUM($B$59:F59)+SUM($B$61:F64))+SUM($B$81:F81))&lt;0,((SUM($B$59:F59)+SUM($B$61:F64))+SUM($B$81:F81))*0.18-SUM($A$79:E79),IF(SUM($B$79:E79)&lt;0,0-SUM($B$79:E79),0))</f>
        <v>0</v>
      </c>
      <c r="G79" s="352">
        <f>IF(((SUM($B$59:G59)+SUM($B$61:G64))+SUM($B$81:G81))&lt;0,((SUM($B$59:G59)+SUM($B$61:G64))+SUM($B$81:G81))*0.18-SUM($A$79:F79),IF(SUM($B$79:F79)&lt;0,0-SUM($B$79:F79),0))</f>
        <v>0</v>
      </c>
      <c r="H79" s="352">
        <f>IF(((SUM($B$59:H59)+SUM($B$61:H64))+SUM($B$81:H81))&lt;0,((SUM($B$59:H59)+SUM($B$61:H64))+SUM($B$81:H81))*0.18-SUM($A$79:G79),IF(SUM($B$79:G79)&lt;0,0-SUM($B$79:G79),0))</f>
        <v>0</v>
      </c>
      <c r="I79" s="352">
        <f>IF(((SUM($B$59:I59)+SUM($B$61:I64))+SUM($B$81:I81))&lt;0,((SUM($B$59:I59)+SUM($B$61:I64))+SUM($B$81:I81))*0.18-SUM($A$79:H79),IF(SUM($B$79:H79)&lt;0,0-SUM($B$79:H79),0))</f>
        <v>0</v>
      </c>
      <c r="J79" s="352">
        <f>IF(((SUM($B$59:J59)+SUM($B$61:J64))+SUM($B$81:J81))&lt;0,((SUM($B$59:J59)+SUM($B$61:J64))+SUM($B$81:J81))*0.18-SUM($A$79:I79),IF(SUM($B$79:I79)&lt;0,0-SUM($B$79:I79),0))</f>
        <v>0</v>
      </c>
      <c r="K79" s="352">
        <f>IF(((SUM($B$59:K59)+SUM($B$61:K64))+SUM($B$81:K81))&lt;0,((SUM($B$59:K59)+SUM($B$61:K64))+SUM($B$81:K81))*0.18-SUM($A$79:J79),IF(SUM($B$79:J79)&lt;0,0-SUM($B$79:J79),0))</f>
        <v>0</v>
      </c>
      <c r="L79" s="352">
        <f>IF(((SUM($B$59:L59)+SUM($B$61:L64))+SUM($B$81:L81))&lt;0,((SUM($B$59:L59)+SUM($B$61:L64))+SUM($B$81:L81))*0.18-SUM($A$79:K79),IF(SUM($B$79:K79)&lt;0,0-SUM($B$79:K79),0))</f>
        <v>0</v>
      </c>
      <c r="M79" s="352">
        <f>IF(((SUM($B$59:M59)+SUM($B$61:M64))+SUM($B$81:M81))&lt;0,((SUM($B$59:M59)+SUM($B$61:M64))+SUM($B$81:M81))*0.18-SUM($A$79:L79),IF(SUM($B$79:L79)&lt;0,0-SUM($B$79:L79),0))</f>
        <v>0</v>
      </c>
      <c r="N79" s="352">
        <f>IF(((SUM($B$59:N59)+SUM($B$61:N64))+SUM($B$81:N81))&lt;0,((SUM($B$59:N59)+SUM($B$61:N64))+SUM($B$81:N81))*0.18-SUM($A$79:M79),IF(SUM($B$79:M79)&lt;0,0-SUM($B$79:M79),0))</f>
        <v>0</v>
      </c>
      <c r="O79" s="352">
        <f>IF(((SUM($B$59:O59)+SUM($B$61:O64))+SUM($B$81:O81))&lt;0,((SUM($B$59:O59)+SUM($B$61:O64))+SUM($B$81:O81))*0.18-SUM($A$79:N79),IF(SUM($B$79:N79)&lt;0,0-SUM($B$79:N79),0))</f>
        <v>0</v>
      </c>
      <c r="P79" s="352">
        <f>IF(((SUM($B$59:P59)+SUM($B$61:P64))+SUM($B$81:P81))&lt;0,((SUM($B$59:P59)+SUM($B$61:P64))+SUM($B$81:P81))*0.18-SUM($A$79:O79),IF(SUM($B$79:O79)&lt;0,0-SUM($B$79:O79),0))</f>
        <v>0</v>
      </c>
      <c r="Q79" s="352">
        <f>IF(((SUM($B$59:Q59)+SUM($B$61:Q64))+SUM($B$81:Q81))&lt;0,((SUM($B$59:Q59)+SUM($B$61:Q64))+SUM($B$81:Q81))*0.18-SUM($A$79:P79),IF(SUM($B$79:P79)&lt;0,0-SUM($B$79:P79),0))</f>
        <v>0</v>
      </c>
      <c r="R79" s="352">
        <f>IF(((SUM($B$59:R59)+SUM($B$61:R64))+SUM($B$81:R81))&lt;0,((SUM($B$59:R59)+SUM($B$61:R64))+SUM($B$81:R81))*0.18-SUM($A$79:Q79),IF(SUM($B$79:Q79)&lt;0,0-SUM($B$79:Q79),0))</f>
        <v>0</v>
      </c>
      <c r="S79" s="352">
        <f>IF(((SUM($B$59:S59)+SUM($B$61:S64))+SUM($B$81:S81))&lt;0,((SUM($B$59:S59)+SUM($B$61:S64))+SUM($B$81:S81))*0.18-SUM($A$79:R79),IF(SUM($B$79:R79)&lt;0,0-SUM($B$79:R79),0))</f>
        <v>0</v>
      </c>
      <c r="T79" s="352">
        <f>IF(((SUM($B$59:T59)+SUM($B$61:T64))+SUM($B$81:T81))&lt;0,((SUM($B$59:T59)+SUM($B$61:T64))+SUM($B$81:T81))*0.18-SUM($A$79:S79),IF(SUM($B$79:S79)&lt;0,0-SUM($B$79:S79),0))</f>
        <v>0</v>
      </c>
      <c r="U79" s="352">
        <f>IF(((SUM($B$59:U59)+SUM($B$61:U64))+SUM($B$81:U81))&lt;0,((SUM($B$59:U59)+SUM($B$61:U64))+SUM($B$81:U81))*0.18-SUM($A$79:T79),IF(SUM($B$79:T79)&lt;0,0-SUM($B$79:T79),0))</f>
        <v>0</v>
      </c>
      <c r="V79" s="352">
        <f>IF(((SUM($B$59:V59)+SUM($B$61:V64))+SUM($B$81:V81))&lt;0,((SUM($B$59:V59)+SUM($B$61:V64))+SUM($B$81:V81))*0.18-SUM($A$79:U79),IF(SUM($B$79:U79)&lt;0,0-SUM($B$79:U79),0))</f>
        <v>0</v>
      </c>
      <c r="W79" s="352">
        <f>IF(((SUM($B$59:W59)+SUM($B$61:W64))+SUM($B$81:W81))&lt;0,((SUM($B$59:W59)+SUM($B$61:W64))+SUM($B$81:W81))*0.18-SUM($A$79:V79),IF(SUM($B$79:V79)&lt;0,0-SUM($B$79:V79),0))</f>
        <v>0</v>
      </c>
      <c r="X79" s="352">
        <f>IF(((SUM($B$59:X59)+SUM($B$61:X64))+SUM($B$81:X81))&lt;0,((SUM($B$59:X59)+SUM($B$61:X64))+SUM($B$81:X81))*0.18-SUM($A$79:W79),IF(SUM($B$79:W79)&lt;0,0-SUM($B$79:W79),0))</f>
        <v>0</v>
      </c>
      <c r="Y79" s="352">
        <f>IF(((SUM($B$59:Y59)+SUM($B$61:Y64))+SUM($B$81:Y81))&lt;0,((SUM($B$59:Y59)+SUM($B$61:Y64))+SUM($B$81:Y81))*0.18-SUM($A$79:X79),IF(SUM($B$79:X79)&lt;0,0-SUM($B$79:X79),0))</f>
        <v>0</v>
      </c>
      <c r="Z79" s="352">
        <f>IF(((SUM($B$59:Z59)+SUM($B$61:Z64))+SUM($B$81:Z81))&lt;0,((SUM($B$59:Z59)+SUM($B$61:Z64))+SUM($B$81:Z81))*0.18-SUM($A$79:Y79),IF(SUM($B$79:Y79)&lt;0,0-SUM($B$79:Y79),0))</f>
        <v>0</v>
      </c>
      <c r="AA79" s="352">
        <f>IF(((SUM($B$59:AA59)+SUM($B$61:AA64))+SUM($B$81:AA81))&lt;0,((SUM($B$59:AA59)+SUM($B$61:AA64))+SUM($B$81:AA81))*0.18-SUM($A$79:Z79),IF(SUM($B$79:Z79)&lt;0,0-SUM($B$79:Z79),0))</f>
        <v>0</v>
      </c>
      <c r="AB79" s="352">
        <f>IF(((SUM($B$59:AB59)+SUM($B$61:AB64))+SUM($B$81:AB81))&lt;0,((SUM($B$59:AB59)+SUM($B$61:AB64))+SUM($B$81:AB81))*0.18-SUM($A$79:AA79),IF(SUM($B$79:AA79)&lt;0,0-SUM($B$79:AA79),0))</f>
        <v>0</v>
      </c>
      <c r="AC79" s="352">
        <f>IF(((SUM($B$59:AC59)+SUM($B$61:AC64))+SUM($B$81:AC81))&lt;0,((SUM($B$59:AC59)+SUM($B$61:AC64))+SUM($B$81:AC81))*0.18-SUM($A$79:AB79),IF(SUM($B$79:AB79)&lt;0,0-SUM($B$79:AB79),0))</f>
        <v>0</v>
      </c>
      <c r="AD79" s="352">
        <f>IF(((SUM($B$59:AD59)+SUM($B$61:AD64))+SUM($B$81:AD81))&lt;0,((SUM($B$59:AD59)+SUM($B$61:AD64))+SUM($B$81:AD81))*0.18-SUM($A$79:AC79),IF(SUM($B$79:AC79)&lt;0,0-SUM($B$79:AC79),0))</f>
        <v>0</v>
      </c>
      <c r="AE79" s="352">
        <f>IF(((SUM($B$59:AE59)+SUM($B$61:AE64))+SUM($B$81:AE81))&lt;0,((SUM($B$59:AE59)+SUM($B$61:AE64))+SUM($B$81:AE81))*0.18-SUM($A$79:AD79),IF(SUM($B$79:AD79)&lt;0,0-SUM($B$79:AD79),0))</f>
        <v>0</v>
      </c>
      <c r="AF79" s="352">
        <f>IF(((SUM($B$59:AF59)+SUM($B$61:AF64))+SUM($B$81:AF81))&lt;0,((SUM($B$59:AF59)+SUM($B$61:AF64))+SUM($B$81:AF81))*0.18-SUM($A$79:AE79),IF(SUM($B$79:AE79)&lt;0,0-SUM($B$79:AE79),0))</f>
        <v>0</v>
      </c>
      <c r="AG79" s="352">
        <f>IF(((SUM($B$59:AG59)+SUM($B$61:AG64))+SUM($B$81:AG81))&lt;0,((SUM($B$59:AG59)+SUM($B$61:AG64))+SUM($B$81:AG81))*0.18-SUM($A$79:AF79),IF(SUM($B$79:AF79)&lt;0,0-SUM($B$79:AF79),0))</f>
        <v>0</v>
      </c>
      <c r="AH79" s="352">
        <f>IF(((SUM($B$59:AH59)+SUM($B$61:AH64))+SUM($B$81:AH81))&lt;0,((SUM($B$59:AH59)+SUM($B$61:AH64))+SUM($B$81:AH81))*0.18-SUM($A$79:AG79),IF(SUM($B$79:AG79)&lt;0,0-SUM($B$79:AG79),0))</f>
        <v>0</v>
      </c>
      <c r="AI79" s="352">
        <f>IF(((SUM($B$59:AI59)+SUM($B$61:AI64))+SUM($B$81:AI81))&lt;0,((SUM($B$59:AI59)+SUM($B$61:AI64))+SUM($B$81:AI81))*0.18-SUM($A$79:AH79),IF(SUM($B$79:AH79)&lt;0,0-SUM($B$79:AH79),0))</f>
        <v>0</v>
      </c>
      <c r="AJ79" s="352">
        <f>IF(((SUM($B$59:AJ59)+SUM($B$61:AJ64))+SUM($B$81:AJ81))&lt;0,((SUM($B$59:AJ59)+SUM($B$61:AJ64))+SUM($B$81:AJ81))*0.18-SUM($A$79:AI79),IF(SUM($B$79:AI79)&lt;0,0-SUM($B$79:AI79),0))</f>
        <v>0</v>
      </c>
      <c r="AK79" s="352">
        <f>IF(((SUM($B$59:AK59)+SUM($B$61:AK64))+SUM($B$81:AK81))&lt;0,((SUM($B$59:AK59)+SUM($B$61:AK64))+SUM($B$81:AK81))*0.18-SUM($A$79:AJ79),IF(SUM($B$79:AJ79)&lt;0,0-SUM($B$79:AJ79),0))</f>
        <v>0</v>
      </c>
      <c r="AL79" s="352">
        <f>IF(((SUM($B$59:AL59)+SUM($B$61:AL64))+SUM($B$81:AL81))&lt;0,((SUM($B$59:AL59)+SUM($B$61:AL64))+SUM($B$81:AL81))*0.18-SUM($A$79:AK79),IF(SUM($B$79:AK79)&lt;0,0-SUM($B$79:AK79),0))</f>
        <v>0</v>
      </c>
      <c r="AM79" s="352">
        <f>IF(((SUM($B$59:AM59)+SUM($B$61:AM64))+SUM($B$81:AM81))&lt;0,((SUM($B$59:AM59)+SUM($B$61:AM64))+SUM($B$81:AM81))*0.18-SUM($A$79:AL79),IF(SUM($B$79:AL79)&lt;0,0-SUM($B$79:AL79),0))</f>
        <v>0</v>
      </c>
      <c r="AN79" s="352">
        <f>IF(((SUM($B$59:AN59)+SUM($B$61:AN64))+SUM($B$81:AN81))&lt;0,((SUM($B$59:AN59)+SUM($B$61:AN64))+SUM($B$81:AN81))*0.18-SUM($A$79:AM79),IF(SUM($B$79:AM79)&lt;0,0-SUM($B$79:AM79),0))</f>
        <v>0</v>
      </c>
      <c r="AO79" s="352">
        <f>IF(((SUM($B$59:AO59)+SUM($B$61:AO64))+SUM($B$81:AO81))&lt;0,((SUM($B$59:AO59)+SUM($B$61:AO64))+SUM($B$81:AO81))*0.18-SUM($A$79:AN79),IF(SUM($B$79:AN79)&lt;0,0-SUM($B$79:AN79),0))</f>
        <v>0</v>
      </c>
      <c r="AP79" s="352">
        <f>IF(((SUM($B$59:AP59)+SUM($B$61:AP64))+SUM($B$81:AP81))&lt;0,((SUM($B$59:AP59)+SUM($B$61:AP64))+SUM($B$81:AP81))*0.18-SUM($A$79:AO79),IF(SUM($B$79:AO79)&lt;0,0-SUM($B$79:AO79),0))</f>
        <v>0</v>
      </c>
    </row>
    <row r="80" spans="1:45" x14ac:dyDescent="0.2">
      <c r="A80" s="218" t="s">
        <v>303</v>
      </c>
      <c r="B80" s="352">
        <f>-B59*(B39)</f>
        <v>0</v>
      </c>
      <c r="C80" s="352">
        <f t="shared" ref="C80:AP80" si="27">-(C59-B59)*$B$39</f>
        <v>0</v>
      </c>
      <c r="D80" s="352">
        <f t="shared" si="27"/>
        <v>0</v>
      </c>
      <c r="E80" s="352">
        <f t="shared" si="27"/>
        <v>0</v>
      </c>
      <c r="F80" s="352">
        <f t="shared" si="27"/>
        <v>0</v>
      </c>
      <c r="G80" s="352">
        <f t="shared" si="27"/>
        <v>0</v>
      </c>
      <c r="H80" s="352">
        <f t="shared" si="27"/>
        <v>0</v>
      </c>
      <c r="I80" s="352">
        <f t="shared" si="27"/>
        <v>0</v>
      </c>
      <c r="J80" s="352">
        <f t="shared" si="27"/>
        <v>0</v>
      </c>
      <c r="K80" s="352">
        <f t="shared" si="27"/>
        <v>0</v>
      </c>
      <c r="L80" s="352">
        <f t="shared" si="27"/>
        <v>0</v>
      </c>
      <c r="M80" s="352">
        <f t="shared" si="27"/>
        <v>0</v>
      </c>
      <c r="N80" s="352">
        <f t="shared" si="27"/>
        <v>0</v>
      </c>
      <c r="O80" s="352">
        <f t="shared" si="27"/>
        <v>0</v>
      </c>
      <c r="P80" s="352">
        <f t="shared" si="27"/>
        <v>0</v>
      </c>
      <c r="Q80" s="352">
        <f t="shared" si="27"/>
        <v>0</v>
      </c>
      <c r="R80" s="352">
        <f t="shared" si="27"/>
        <v>0</v>
      </c>
      <c r="S80" s="352">
        <f t="shared" si="27"/>
        <v>0</v>
      </c>
      <c r="T80" s="352">
        <f t="shared" si="27"/>
        <v>0</v>
      </c>
      <c r="U80" s="352">
        <f t="shared" si="27"/>
        <v>0</v>
      </c>
      <c r="V80" s="352">
        <f t="shared" si="27"/>
        <v>0</v>
      </c>
      <c r="W80" s="352">
        <f t="shared" si="27"/>
        <v>0</v>
      </c>
      <c r="X80" s="352">
        <f t="shared" si="27"/>
        <v>0</v>
      </c>
      <c r="Y80" s="352">
        <f t="shared" si="27"/>
        <v>0</v>
      </c>
      <c r="Z80" s="352">
        <f t="shared" si="27"/>
        <v>0</v>
      </c>
      <c r="AA80" s="352">
        <f t="shared" si="27"/>
        <v>0</v>
      </c>
      <c r="AB80" s="352">
        <f t="shared" si="27"/>
        <v>0</v>
      </c>
      <c r="AC80" s="352">
        <f t="shared" si="27"/>
        <v>0</v>
      </c>
      <c r="AD80" s="352">
        <f t="shared" si="27"/>
        <v>0</v>
      </c>
      <c r="AE80" s="352">
        <f t="shared" si="27"/>
        <v>0</v>
      </c>
      <c r="AF80" s="352">
        <f t="shared" si="27"/>
        <v>0</v>
      </c>
      <c r="AG80" s="352">
        <f t="shared" si="27"/>
        <v>0</v>
      </c>
      <c r="AH80" s="352">
        <f t="shared" si="27"/>
        <v>0</v>
      </c>
      <c r="AI80" s="352">
        <f t="shared" si="27"/>
        <v>0</v>
      </c>
      <c r="AJ80" s="352">
        <f t="shared" si="27"/>
        <v>0</v>
      </c>
      <c r="AK80" s="352">
        <f t="shared" si="27"/>
        <v>0</v>
      </c>
      <c r="AL80" s="352">
        <f t="shared" si="27"/>
        <v>0</v>
      </c>
      <c r="AM80" s="352">
        <f t="shared" si="27"/>
        <v>0</v>
      </c>
      <c r="AN80" s="352">
        <f t="shared" si="27"/>
        <v>0</v>
      </c>
      <c r="AO80" s="352">
        <f t="shared" si="27"/>
        <v>0</v>
      </c>
      <c r="AP80" s="352">
        <f t="shared" si="27"/>
        <v>0</v>
      </c>
    </row>
    <row r="81" spans="1:45" x14ac:dyDescent="0.2">
      <c r="A81" s="218" t="s">
        <v>540</v>
      </c>
      <c r="B81" s="352">
        <f>-$B$126</f>
        <v>-1983720</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21">
        <f>SUM(B81:AP81)</f>
        <v>-1983720</v>
      </c>
      <c r="AR81" s="222"/>
    </row>
    <row r="82" spans="1:45" x14ac:dyDescent="0.2">
      <c r="A82" s="218" t="s">
        <v>302</v>
      </c>
      <c r="B82" s="352">
        <f t="shared" ref="B82:AO82" si="28">B54-B55</f>
        <v>0</v>
      </c>
      <c r="C82" s="352">
        <f t="shared" si="28"/>
        <v>0</v>
      </c>
      <c r="D82" s="352">
        <f t="shared" si="28"/>
        <v>0</v>
      </c>
      <c r="E82" s="352">
        <f t="shared" si="28"/>
        <v>0</v>
      </c>
      <c r="F82" s="352">
        <f t="shared" si="28"/>
        <v>0</v>
      </c>
      <c r="G82" s="352">
        <f t="shared" si="28"/>
        <v>0</v>
      </c>
      <c r="H82" s="352">
        <f t="shared" si="28"/>
        <v>0</v>
      </c>
      <c r="I82" s="352">
        <f t="shared" si="28"/>
        <v>0</v>
      </c>
      <c r="J82" s="352">
        <f t="shared" si="28"/>
        <v>0</v>
      </c>
      <c r="K82" s="352">
        <f t="shared" si="28"/>
        <v>0</v>
      </c>
      <c r="L82" s="352">
        <f t="shared" si="28"/>
        <v>0</v>
      </c>
      <c r="M82" s="352">
        <f t="shared" si="28"/>
        <v>0</v>
      </c>
      <c r="N82" s="352">
        <f t="shared" si="28"/>
        <v>0</v>
      </c>
      <c r="O82" s="352">
        <f t="shared" si="28"/>
        <v>0</v>
      </c>
      <c r="P82" s="352">
        <f t="shared" si="28"/>
        <v>0</v>
      </c>
      <c r="Q82" s="352">
        <f t="shared" si="28"/>
        <v>0</v>
      </c>
      <c r="R82" s="352">
        <f t="shared" si="28"/>
        <v>0</v>
      </c>
      <c r="S82" s="352">
        <f t="shared" si="28"/>
        <v>0</v>
      </c>
      <c r="T82" s="352">
        <f t="shared" si="28"/>
        <v>0</v>
      </c>
      <c r="U82" s="352">
        <f t="shared" si="28"/>
        <v>0</v>
      </c>
      <c r="V82" s="352">
        <f t="shared" si="28"/>
        <v>0</v>
      </c>
      <c r="W82" s="352">
        <f t="shared" si="28"/>
        <v>0</v>
      </c>
      <c r="X82" s="352">
        <f t="shared" si="28"/>
        <v>0</v>
      </c>
      <c r="Y82" s="352">
        <f t="shared" si="28"/>
        <v>0</v>
      </c>
      <c r="Z82" s="352">
        <f t="shared" si="28"/>
        <v>0</v>
      </c>
      <c r="AA82" s="352">
        <f t="shared" si="28"/>
        <v>0</v>
      </c>
      <c r="AB82" s="352">
        <f t="shared" si="28"/>
        <v>0</v>
      </c>
      <c r="AC82" s="352">
        <f t="shared" si="28"/>
        <v>0</v>
      </c>
      <c r="AD82" s="352">
        <f t="shared" si="28"/>
        <v>0</v>
      </c>
      <c r="AE82" s="352">
        <f t="shared" si="28"/>
        <v>0</v>
      </c>
      <c r="AF82" s="352">
        <f t="shared" si="28"/>
        <v>0</v>
      </c>
      <c r="AG82" s="352">
        <f t="shared" si="28"/>
        <v>0</v>
      </c>
      <c r="AH82" s="352">
        <f t="shared" si="28"/>
        <v>0</v>
      </c>
      <c r="AI82" s="352">
        <f t="shared" si="28"/>
        <v>0</v>
      </c>
      <c r="AJ82" s="352">
        <f t="shared" si="28"/>
        <v>0</v>
      </c>
      <c r="AK82" s="352">
        <f t="shared" si="28"/>
        <v>0</v>
      </c>
      <c r="AL82" s="352">
        <f t="shared" si="28"/>
        <v>0</v>
      </c>
      <c r="AM82" s="352">
        <f t="shared" si="28"/>
        <v>0</v>
      </c>
      <c r="AN82" s="352">
        <f t="shared" si="28"/>
        <v>0</v>
      </c>
      <c r="AO82" s="352">
        <f t="shared" si="28"/>
        <v>0</v>
      </c>
      <c r="AP82" s="352">
        <f>AP54-AP55</f>
        <v>0</v>
      </c>
    </row>
    <row r="83" spans="1:45" ht="14.25" x14ac:dyDescent="0.2">
      <c r="A83" s="219" t="s">
        <v>301</v>
      </c>
      <c r="B83" s="353">
        <f>SUM(B75:B82)</f>
        <v>-396744.04900000012</v>
      </c>
      <c r="C83" s="353">
        <f t="shared" ref="C83:V83" si="29">SUM(C75:C82)</f>
        <v>433383.87378342822</v>
      </c>
      <c r="D83" s="353">
        <f t="shared" si="29"/>
        <v>907891.6815950668</v>
      </c>
      <c r="E83" s="353">
        <f t="shared" si="29"/>
        <v>1435942.0497903163</v>
      </c>
      <c r="F83" s="353">
        <f t="shared" si="29"/>
        <v>1495705.4316415098</v>
      </c>
      <c r="G83" s="353">
        <f t="shared" si="29"/>
        <v>1557978.8755304529</v>
      </c>
      <c r="H83" s="353">
        <f t="shared" si="29"/>
        <v>1622867.804062732</v>
      </c>
      <c r="I83" s="353">
        <f t="shared" si="29"/>
        <v>1690482.0675933668</v>
      </c>
      <c r="J83" s="353">
        <f t="shared" si="29"/>
        <v>1760936.1301922887</v>
      </c>
      <c r="K83" s="353">
        <f t="shared" si="29"/>
        <v>1834349.2634203644</v>
      </c>
      <c r="L83" s="353">
        <f t="shared" si="29"/>
        <v>1910845.7482440202</v>
      </c>
      <c r="M83" s="353">
        <f t="shared" si="29"/>
        <v>1990555.0854302691</v>
      </c>
      <c r="N83" s="353">
        <f t="shared" si="29"/>
        <v>2073612.2147783404</v>
      </c>
      <c r="O83" s="353">
        <f t="shared" si="29"/>
        <v>2160157.7435590304</v>
      </c>
      <c r="P83" s="353">
        <f t="shared" si="29"/>
        <v>2250338.1845485098</v>
      </c>
      <c r="Q83" s="353">
        <f t="shared" si="29"/>
        <v>2344306.2040595473</v>
      </c>
      <c r="R83" s="353">
        <f t="shared" si="29"/>
        <v>2442220.8803900494</v>
      </c>
      <c r="S83" s="353">
        <f t="shared" si="29"/>
        <v>2544247.973126431</v>
      </c>
      <c r="T83" s="353">
        <f t="shared" si="29"/>
        <v>2650560.2037577415</v>
      </c>
      <c r="U83" s="353">
        <f t="shared" si="29"/>
        <v>2761337.548075567</v>
      </c>
      <c r="V83" s="353">
        <f t="shared" si="29"/>
        <v>2876767.54085474</v>
      </c>
      <c r="W83" s="353">
        <f>SUM(W75:W82)</f>
        <v>2997045.5933306394</v>
      </c>
      <c r="X83" s="353">
        <f>SUM(X75:X82)</f>
        <v>3122375.3240105268</v>
      </c>
      <c r="Y83" s="353">
        <f>SUM(Y75:Y82)</f>
        <v>3252968.9033789691</v>
      </c>
      <c r="Z83" s="353">
        <f>SUM(Z75:Z82)</f>
        <v>3389047.413080886</v>
      </c>
      <c r="AA83" s="353">
        <f t="shared" ref="AA83:AP83" si="30">SUM(AA75:AA82)</f>
        <v>3530841.2201902829</v>
      </c>
      <c r="AB83" s="353">
        <f t="shared" si="30"/>
        <v>3678590.3671982745</v>
      </c>
      <c r="AC83" s="353">
        <f t="shared" si="30"/>
        <v>3832544.9783806028</v>
      </c>
      <c r="AD83" s="353">
        <f t="shared" si="30"/>
        <v>3992965.6832325887</v>
      </c>
      <c r="AE83" s="353">
        <f t="shared" si="30"/>
        <v>4160124.0576883564</v>
      </c>
      <c r="AF83" s="353">
        <f t="shared" si="30"/>
        <v>4334303.0838712687</v>
      </c>
      <c r="AG83" s="353">
        <f t="shared" si="30"/>
        <v>4515797.6291538635</v>
      </c>
      <c r="AH83" s="353">
        <f t="shared" si="30"/>
        <v>4704914.9453383246</v>
      </c>
      <c r="AI83" s="353">
        <f t="shared" si="30"/>
        <v>4901975.1888025329</v>
      </c>
      <c r="AJ83" s="353">
        <f t="shared" si="30"/>
        <v>5107311.9624922406</v>
      </c>
      <c r="AK83" s="353">
        <f t="shared" si="30"/>
        <v>5321272.8806769159</v>
      </c>
      <c r="AL83" s="353">
        <f t="shared" si="30"/>
        <v>5544220.1574253449</v>
      </c>
      <c r="AM83" s="353">
        <f t="shared" si="30"/>
        <v>5776531.2197972108</v>
      </c>
      <c r="AN83" s="353">
        <f t="shared" si="30"/>
        <v>6018599.3467886942</v>
      </c>
      <c r="AO83" s="353">
        <f t="shared" si="30"/>
        <v>6270834.3351138188</v>
      </c>
      <c r="AP83" s="353">
        <f t="shared" si="30"/>
        <v>6533663.1929485975</v>
      </c>
    </row>
    <row r="84" spans="1:45" ht="14.25" x14ac:dyDescent="0.2">
      <c r="A84" s="219" t="s">
        <v>300</v>
      </c>
      <c r="B84" s="353">
        <f>SUM($B$83:B83)</f>
        <v>-396744.04900000012</v>
      </c>
      <c r="C84" s="353">
        <f>SUM($B$83:C83)</f>
        <v>36639.824783428106</v>
      </c>
      <c r="D84" s="353">
        <f>SUM($B$83:D83)</f>
        <v>944531.5063784949</v>
      </c>
      <c r="E84" s="353">
        <f>SUM($B$83:E83)</f>
        <v>2380473.5561688114</v>
      </c>
      <c r="F84" s="353">
        <f>SUM($B$83:F83)</f>
        <v>3876178.9878103212</v>
      </c>
      <c r="G84" s="353">
        <f>SUM($B$83:G83)</f>
        <v>5434157.8633407746</v>
      </c>
      <c r="H84" s="353">
        <f>SUM($B$83:H83)</f>
        <v>7057025.6674035061</v>
      </c>
      <c r="I84" s="353">
        <f>SUM($B$83:I83)</f>
        <v>8747507.7349968739</v>
      </c>
      <c r="J84" s="353">
        <f>SUM($B$83:J83)</f>
        <v>10508443.865189163</v>
      </c>
      <c r="K84" s="353">
        <f>SUM($B$83:K83)</f>
        <v>12342793.128609527</v>
      </c>
      <c r="L84" s="353">
        <f>SUM($B$83:L83)</f>
        <v>14253638.876853548</v>
      </c>
      <c r="M84" s="353">
        <f>SUM($B$83:M83)</f>
        <v>16244193.962283816</v>
      </c>
      <c r="N84" s="353">
        <f>SUM($B$83:N83)</f>
        <v>18317806.177062158</v>
      </c>
      <c r="O84" s="353">
        <f>SUM($B$83:O83)</f>
        <v>20477963.920621186</v>
      </c>
      <c r="P84" s="353">
        <f>SUM($B$83:P83)</f>
        <v>22728302.105169695</v>
      </c>
      <c r="Q84" s="353">
        <f>SUM($B$83:Q83)</f>
        <v>25072608.309229244</v>
      </c>
      <c r="R84" s="353">
        <f>SUM($B$83:R83)</f>
        <v>27514829.189619292</v>
      </c>
      <c r="S84" s="353">
        <f>SUM($B$83:S83)</f>
        <v>30059077.162745722</v>
      </c>
      <c r="T84" s="353">
        <f>SUM($B$83:T83)</f>
        <v>32709637.366503462</v>
      </c>
      <c r="U84" s="353">
        <f>SUM($B$83:U83)</f>
        <v>35470974.914579026</v>
      </c>
      <c r="V84" s="353">
        <f>SUM($B$83:V83)</f>
        <v>38347742.455433764</v>
      </c>
      <c r="W84" s="353">
        <f>SUM($B$83:W83)</f>
        <v>41344788.0487644</v>
      </c>
      <c r="X84" s="353">
        <f>SUM($B$83:X83)</f>
        <v>44467163.372774929</v>
      </c>
      <c r="Y84" s="353">
        <f>SUM($B$83:Y83)</f>
        <v>47720132.2761539</v>
      </c>
      <c r="Z84" s="353">
        <f>SUM($B$83:Z83)</f>
        <v>51109179.689234786</v>
      </c>
      <c r="AA84" s="353">
        <f>SUM($B$83:AA83)</f>
        <v>54640020.909425065</v>
      </c>
      <c r="AB84" s="353">
        <f>SUM($B$83:AB83)</f>
        <v>58318611.276623338</v>
      </c>
      <c r="AC84" s="353">
        <f>SUM($B$83:AC83)</f>
        <v>62151156.255003944</v>
      </c>
      <c r="AD84" s="353">
        <f>SUM($B$83:AD83)</f>
        <v>66144121.938236535</v>
      </c>
      <c r="AE84" s="353">
        <f>SUM($B$83:AE83)</f>
        <v>70304245.99592489</v>
      </c>
      <c r="AF84" s="353">
        <f>SUM($B$83:AF83)</f>
        <v>74638549.079796165</v>
      </c>
      <c r="AG84" s="353">
        <f>SUM($B$83:AG83)</f>
        <v>79154346.708950028</v>
      </c>
      <c r="AH84" s="353">
        <f>SUM($B$83:AH83)</f>
        <v>83859261.654288352</v>
      </c>
      <c r="AI84" s="353">
        <f>SUM($B$83:AI83)</f>
        <v>88761236.843090892</v>
      </c>
      <c r="AJ84" s="353">
        <f>SUM($B$83:AJ83)</f>
        <v>93868548.805583134</v>
      </c>
      <c r="AK84" s="353">
        <f>SUM($B$83:AK83)</f>
        <v>99189821.686260045</v>
      </c>
      <c r="AL84" s="353">
        <f>SUM($B$83:AL83)</f>
        <v>104734041.84368539</v>
      </c>
      <c r="AM84" s="353">
        <f>SUM($B$83:AM83)</f>
        <v>110510573.0634826</v>
      </c>
      <c r="AN84" s="353">
        <f>SUM($B$83:AN83)</f>
        <v>116529172.41027129</v>
      </c>
      <c r="AO84" s="353">
        <f>SUM($B$83:AO83)</f>
        <v>122800006.74538511</v>
      </c>
      <c r="AP84" s="353">
        <f>SUM($B$83:AP83)</f>
        <v>129333669.93833371</v>
      </c>
    </row>
    <row r="85" spans="1:45" x14ac:dyDescent="0.2">
      <c r="A85" s="218" t="s">
        <v>541</v>
      </c>
      <c r="B85" s="354">
        <f t="shared" ref="B85:AP85" si="31">1/POWER((1+$B$44),B73)</f>
        <v>0.75599588161705711</v>
      </c>
      <c r="C85" s="354">
        <f t="shared" si="31"/>
        <v>0.6273824743710017</v>
      </c>
      <c r="D85" s="354">
        <f t="shared" si="31"/>
        <v>0.52064935632448273</v>
      </c>
      <c r="E85" s="354">
        <f t="shared" si="31"/>
        <v>0.43207415462612664</v>
      </c>
      <c r="F85" s="354">
        <f t="shared" si="31"/>
        <v>0.35856776317520883</v>
      </c>
      <c r="G85" s="354">
        <f t="shared" si="31"/>
        <v>0.29756660844415667</v>
      </c>
      <c r="H85" s="354">
        <f t="shared" si="31"/>
        <v>0.24694324352212174</v>
      </c>
      <c r="I85" s="354">
        <f t="shared" si="31"/>
        <v>0.20493215230051592</v>
      </c>
      <c r="J85" s="354">
        <f t="shared" si="31"/>
        <v>0.1700681761830008</v>
      </c>
      <c r="K85" s="354">
        <f t="shared" si="31"/>
        <v>0.14113541591950271</v>
      </c>
      <c r="L85" s="354">
        <f t="shared" si="31"/>
        <v>0.11712482648921385</v>
      </c>
      <c r="M85" s="354">
        <f t="shared" si="31"/>
        <v>9.719902613212765E-2</v>
      </c>
      <c r="N85" s="354">
        <f t="shared" si="31"/>
        <v>8.0663092225832109E-2</v>
      </c>
      <c r="O85" s="354">
        <f t="shared" si="31"/>
        <v>6.6940325498615838E-2</v>
      </c>
      <c r="P85" s="354">
        <f t="shared" si="31"/>
        <v>5.5552137343249659E-2</v>
      </c>
      <c r="Q85" s="354">
        <f t="shared" si="31"/>
        <v>4.6101358791078552E-2</v>
      </c>
      <c r="R85" s="354">
        <f t="shared" si="31"/>
        <v>3.825838903823945E-2</v>
      </c>
      <c r="S85" s="354">
        <f t="shared" si="31"/>
        <v>3.174970044667174E-2</v>
      </c>
      <c r="T85" s="354">
        <f t="shared" si="31"/>
        <v>2.6348299125868668E-2</v>
      </c>
      <c r="U85" s="354">
        <f t="shared" si="31"/>
        <v>2.1865808403210511E-2</v>
      </c>
      <c r="V85" s="354">
        <f t="shared" si="31"/>
        <v>1.814589908980126E-2</v>
      </c>
      <c r="W85" s="354">
        <f t="shared" si="31"/>
        <v>1.5058837418922204E-2</v>
      </c>
      <c r="X85" s="354">
        <f t="shared" si="31"/>
        <v>1.2496960513628384E-2</v>
      </c>
      <c r="Y85" s="354">
        <f t="shared" si="31"/>
        <v>1.0370921588073345E-2</v>
      </c>
      <c r="Z85" s="354">
        <f t="shared" si="31"/>
        <v>8.6065739320110735E-3</v>
      </c>
      <c r="AA85" s="354">
        <f t="shared" si="31"/>
        <v>7.1423850058183183E-3</v>
      </c>
      <c r="AB85" s="354">
        <f t="shared" si="31"/>
        <v>5.9272904612600145E-3</v>
      </c>
      <c r="AC85" s="354">
        <f t="shared" si="31"/>
        <v>4.9189132458589318E-3</v>
      </c>
      <c r="AD85" s="354">
        <f t="shared" si="31"/>
        <v>4.082085681210732E-3</v>
      </c>
      <c r="AE85" s="354">
        <f t="shared" si="31"/>
        <v>3.3876229719591129E-3</v>
      </c>
      <c r="AF85" s="354">
        <f t="shared" si="31"/>
        <v>2.8113053709204251E-3</v>
      </c>
      <c r="AG85" s="354">
        <f t="shared" si="31"/>
        <v>2.3330335028385286E-3</v>
      </c>
      <c r="AH85" s="354">
        <f t="shared" si="31"/>
        <v>1.9361273882477412E-3</v>
      </c>
      <c r="AI85" s="354">
        <f t="shared" si="31"/>
        <v>1.6067447205375444E-3</v>
      </c>
      <c r="AJ85" s="354">
        <f t="shared" si="31"/>
        <v>1.3333981083299121E-3</v>
      </c>
      <c r="AK85" s="354">
        <f t="shared" si="31"/>
        <v>1.1065544467468149E-3</v>
      </c>
      <c r="AL85" s="354">
        <f t="shared" si="31"/>
        <v>9.1830244543304122E-4</v>
      </c>
      <c r="AM85" s="354">
        <f t="shared" si="31"/>
        <v>7.6207671820169396E-4</v>
      </c>
      <c r="AN85" s="354">
        <f t="shared" si="31"/>
        <v>6.3242881178563804E-4</v>
      </c>
      <c r="AO85" s="354">
        <f t="shared" si="31"/>
        <v>5.2483718820384888E-4</v>
      </c>
      <c r="AP85" s="354">
        <f t="shared" si="31"/>
        <v>4.3554953377912764E-4</v>
      </c>
    </row>
    <row r="86" spans="1:45" ht="28.5" x14ac:dyDescent="0.2">
      <c r="A86" s="217" t="s">
        <v>299</v>
      </c>
      <c r="B86" s="353">
        <f>B83*B85</f>
        <v>-299936.86710007599</v>
      </c>
      <c r="C86" s="353">
        <f>C83*C85</f>
        <v>271897.44708673708</v>
      </c>
      <c r="D86" s="353">
        <f t="shared" ref="D86:AO86" si="32">D83*D85</f>
        <v>472693.21963482373</v>
      </c>
      <c r="E86" s="353">
        <f t="shared" si="32"/>
        <v>620433.44725525833</v>
      </c>
      <c r="F86" s="353">
        <f t="shared" si="32"/>
        <v>536311.75099270639</v>
      </c>
      <c r="G86" s="353">
        <f t="shared" si="32"/>
        <v>463602.4900192378</v>
      </c>
      <c r="H86" s="353">
        <f t="shared" si="32"/>
        <v>400756.23934287421</v>
      </c>
      <c r="I86" s="353">
        <f t="shared" si="32"/>
        <v>346434.12853733491</v>
      </c>
      <c r="J86" s="353">
        <f t="shared" si="32"/>
        <v>299479.19603655377</v>
      </c>
      <c r="K86" s="353">
        <f t="shared" si="32"/>
        <v>258891.64623446655</v>
      </c>
      <c r="L86" s="353">
        <f t="shared" si="32"/>
        <v>223807.47671073288</v>
      </c>
      <c r="M86" s="353">
        <f t="shared" si="32"/>
        <v>193480.01576617631</v>
      </c>
      <c r="N86" s="353">
        <f t="shared" si="32"/>
        <v>167263.97332127724</v>
      </c>
      <c r="O86" s="353">
        <f t="shared" si="32"/>
        <v>144601.66248219702</v>
      </c>
      <c r="P86" s="353">
        <f t="shared" si="32"/>
        <v>125011.09589679791</v>
      </c>
      <c r="Q86" s="353">
        <f t="shared" si="32"/>
        <v>108075.70142950059</v>
      </c>
      <c r="R86" s="353">
        <f t="shared" si="32"/>
        <v>93435.436559274167</v>
      </c>
      <c r="S86" s="353">
        <f t="shared" si="32"/>
        <v>80779.111008815918</v>
      </c>
      <c r="T86" s="353">
        <f t="shared" si="32"/>
        <v>69837.753099732377</v>
      </c>
      <c r="U86" s="353">
        <f t="shared" si="32"/>
        <v>60378.87776281144</v>
      </c>
      <c r="V86" s="353">
        <f t="shared" si="32"/>
        <v>52201.533501165839</v>
      </c>
      <c r="W86" s="353">
        <f t="shared" si="32"/>
        <v>45132.022327063336</v>
      </c>
      <c r="X86" s="353">
        <f t="shared" si="32"/>
        <v>39020.201132887189</v>
      </c>
      <c r="Y86" s="353">
        <f t="shared" si="32"/>
        <v>33736.285425384223</v>
      </c>
      <c r="Z86" s="353">
        <f t="shared" si="32"/>
        <v>29168.087119771517</v>
      </c>
      <c r="AA86" s="353">
        <f t="shared" si="32"/>
        <v>25218.62738901233</v>
      </c>
      <c r="AB86" s="353">
        <f t="shared" si="32"/>
        <v>21804.073594377307</v>
      </c>
      <c r="AC86" s="353">
        <f t="shared" si="32"/>
        <v>18851.956259506482</v>
      </c>
      <c r="AD86" s="353">
        <f t="shared" si="32"/>
        <v>16299.628041089578</v>
      </c>
      <c r="AE86" s="353">
        <f t="shared" si="32"/>
        <v>14092.931824024834</v>
      </c>
      <c r="AF86" s="353">
        <f t="shared" si="32"/>
        <v>12185.049538884259</v>
      </c>
      <c r="AG86" s="353">
        <f t="shared" si="32"/>
        <v>10535.507160854761</v>
      </c>
      <c r="AH86" s="353">
        <f t="shared" si="32"/>
        <v>9109.3146850456542</v>
      </c>
      <c r="AI86" s="353">
        <f t="shared" si="32"/>
        <v>7876.222754814502</v>
      </c>
      <c r="AJ86" s="353">
        <f t="shared" si="32"/>
        <v>6810.0801094378839</v>
      </c>
      <c r="AK86" s="353">
        <f t="shared" si="32"/>
        <v>5888.278168466275</v>
      </c>
      <c r="AL86" s="353">
        <f t="shared" si="32"/>
        <v>5091.270928582855</v>
      </c>
      <c r="AM86" s="353">
        <f t="shared" si="32"/>
        <v>4402.1599545726867</v>
      </c>
      <c r="AN86" s="353">
        <f t="shared" si="32"/>
        <v>3806.3356335033909</v>
      </c>
      <c r="AO86" s="353">
        <f t="shared" si="32"/>
        <v>3291.1670601332889</v>
      </c>
      <c r="AP86" s="353">
        <f>AP83*AP85</f>
        <v>2845.7339575586079</v>
      </c>
    </row>
    <row r="87" spans="1:45" ht="14.25" x14ac:dyDescent="0.2">
      <c r="A87" s="217" t="s">
        <v>298</v>
      </c>
      <c r="B87" s="353">
        <f>SUM($B$86:B86)</f>
        <v>-299936.86710007599</v>
      </c>
      <c r="C87" s="353">
        <f>SUM($B$86:C86)</f>
        <v>-28039.420013338909</v>
      </c>
      <c r="D87" s="353">
        <f>SUM($B$86:D86)</f>
        <v>444653.79962148482</v>
      </c>
      <c r="E87" s="353">
        <f>SUM($B$86:E86)</f>
        <v>1065087.2468767432</v>
      </c>
      <c r="F87" s="353">
        <f>SUM($B$86:F86)</f>
        <v>1601398.9978694497</v>
      </c>
      <c r="G87" s="353">
        <f>SUM($B$86:G86)</f>
        <v>2065001.4878886875</v>
      </c>
      <c r="H87" s="353">
        <f>SUM($B$86:H86)</f>
        <v>2465757.7272315617</v>
      </c>
      <c r="I87" s="353">
        <f>SUM($B$86:I86)</f>
        <v>2812191.8557688966</v>
      </c>
      <c r="J87" s="353">
        <f>SUM($B$86:J86)</f>
        <v>3111671.0518054506</v>
      </c>
      <c r="K87" s="353">
        <f>SUM($B$86:K86)</f>
        <v>3370562.6980399173</v>
      </c>
      <c r="L87" s="353">
        <f>SUM($B$86:L86)</f>
        <v>3594370.1747506503</v>
      </c>
      <c r="M87" s="353">
        <f>SUM($B$86:M86)</f>
        <v>3787850.1905168267</v>
      </c>
      <c r="N87" s="353">
        <f>SUM($B$86:N86)</f>
        <v>3955114.1638381039</v>
      </c>
      <c r="O87" s="353">
        <f>SUM($B$86:O86)</f>
        <v>4099715.8263203008</v>
      </c>
      <c r="P87" s="353">
        <f>SUM($B$86:P86)</f>
        <v>4224726.922217099</v>
      </c>
      <c r="Q87" s="353">
        <f>SUM($B$86:Q86)</f>
        <v>4332802.6236465992</v>
      </c>
      <c r="R87" s="353">
        <f>SUM($B$86:R86)</f>
        <v>4426238.0602058731</v>
      </c>
      <c r="S87" s="353">
        <f>SUM($B$86:S86)</f>
        <v>4507017.1712146886</v>
      </c>
      <c r="T87" s="353">
        <f>SUM($B$86:T86)</f>
        <v>4576854.9243144207</v>
      </c>
      <c r="U87" s="353">
        <f>SUM($B$86:U86)</f>
        <v>4637233.8020772319</v>
      </c>
      <c r="V87" s="353">
        <f>SUM($B$86:V86)</f>
        <v>4689435.3355783978</v>
      </c>
      <c r="W87" s="353">
        <f>SUM($B$86:W86)</f>
        <v>4734567.3579054615</v>
      </c>
      <c r="X87" s="353">
        <f>SUM($B$86:X86)</f>
        <v>4773587.5590383485</v>
      </c>
      <c r="Y87" s="353">
        <f>SUM($B$86:Y86)</f>
        <v>4807323.844463733</v>
      </c>
      <c r="Z87" s="353">
        <f>SUM($B$86:Z86)</f>
        <v>4836491.9315835042</v>
      </c>
      <c r="AA87" s="353">
        <f>SUM($B$86:AA86)</f>
        <v>4861710.5589725161</v>
      </c>
      <c r="AB87" s="353">
        <f>SUM($B$86:AB86)</f>
        <v>4883514.6325668935</v>
      </c>
      <c r="AC87" s="353">
        <f>SUM($B$86:AC86)</f>
        <v>4902366.5888264002</v>
      </c>
      <c r="AD87" s="353">
        <f>SUM($B$86:AD86)</f>
        <v>4918666.2168674897</v>
      </c>
      <c r="AE87" s="353">
        <f>SUM($B$86:AE86)</f>
        <v>4932759.1486915145</v>
      </c>
      <c r="AF87" s="353">
        <f>SUM($B$86:AF86)</f>
        <v>4944944.1982303988</v>
      </c>
      <c r="AG87" s="353">
        <f>SUM($B$86:AG86)</f>
        <v>4955479.7053912533</v>
      </c>
      <c r="AH87" s="353">
        <f>SUM($B$86:AH86)</f>
        <v>4964589.0200762991</v>
      </c>
      <c r="AI87" s="353">
        <f>SUM($B$86:AI86)</f>
        <v>4972465.2428311137</v>
      </c>
      <c r="AJ87" s="353">
        <f>SUM($B$86:AJ86)</f>
        <v>4979275.3229405517</v>
      </c>
      <c r="AK87" s="353">
        <f>SUM($B$86:AK86)</f>
        <v>4985163.6011090176</v>
      </c>
      <c r="AL87" s="353">
        <f>SUM($B$86:AL86)</f>
        <v>4990254.8720376007</v>
      </c>
      <c r="AM87" s="353">
        <f>SUM($B$86:AM86)</f>
        <v>4994657.0319921738</v>
      </c>
      <c r="AN87" s="353">
        <f>SUM($B$86:AN86)</f>
        <v>4998463.367625677</v>
      </c>
      <c r="AO87" s="353">
        <f>SUM($B$86:AO86)</f>
        <v>5001754.5346858101</v>
      </c>
      <c r="AP87" s="353">
        <f>SUM($B$86:AP86)</f>
        <v>5004600.268643369</v>
      </c>
    </row>
    <row r="88" spans="1:45" ht="14.25" x14ac:dyDescent="0.2">
      <c r="A88" s="217" t="s">
        <v>297</v>
      </c>
      <c r="B88" s="355">
        <f>IF((ISERR(IRR($B$83:B83))),0,IF(IRR($B$83:B83)&lt;0,0,IRR($B$83:B83)))</f>
        <v>0</v>
      </c>
      <c r="C88" s="355">
        <f>IF((ISERR(IRR($B$83:C83))),0,IF(IRR($B$83:C83)&lt;0,0,IRR($B$83:C83)))</f>
        <v>9.2351290147336451E-2</v>
      </c>
      <c r="D88" s="355">
        <f>IF((ISERR(IRR($B$83:D83))),0,IF(IRR($B$83:D83)&lt;0,0,IRR($B$83:D83)))</f>
        <v>1.15448655342969</v>
      </c>
      <c r="E88" s="355">
        <f>IF((ISERR(IRR($B$83:E83))),0,IF(IRR($B$83:E83)&lt;0,0,IRR($B$83:E83)))</f>
        <v>1.5479598528098553</v>
      </c>
      <c r="F88" s="355">
        <f>IF((ISERR(IRR($B$83:F83))),0,IF(IRR($B$83:F83)&lt;0,0,IRR($B$83:F83)))</f>
        <v>1.6623079913323107</v>
      </c>
      <c r="G88" s="355">
        <f>IF((ISERR(IRR($B$83:G83))),0,IF(IRR($B$83:G83)&lt;0,0,IRR($B$83:G83)))</f>
        <v>1.7008947204905747</v>
      </c>
      <c r="H88" s="355">
        <f>IF((ISERR(IRR($B$83:H83))),0,IF(IRR($B$83:H83)&lt;0,0,IRR($B$83:H83)))</f>
        <v>1.7147992856938599</v>
      </c>
      <c r="I88" s="355">
        <f>IF((ISERR(IRR($B$83:I83))),0,IF(IRR($B$83:I83)&lt;0,0,IRR($B$83:I83)))</f>
        <v>1.719970309651492</v>
      </c>
      <c r="J88" s="355">
        <f>IF((ISERR(IRR($B$83:J83))),0,IF(IRR($B$83:J83)&lt;0,0,IRR($B$83:J83)))</f>
        <v>1.7219227607552776</v>
      </c>
      <c r="K88" s="355">
        <f>IF((ISERR(IRR($B$83:K83))),0,IF(IRR($B$83:K83)&lt;0,0,IRR($B$83:K83)))</f>
        <v>1.7226652465870593</v>
      </c>
      <c r="L88" s="355">
        <f>IF((ISERR(IRR($B$83:L83))),0,IF(IRR($B$83:L83)&lt;0,0,IRR($B$83:L83)))</f>
        <v>1.7229485337480077</v>
      </c>
      <c r="M88" s="355">
        <f>IF((ISERR(IRR($B$83:M83))),0,IF(IRR($B$83:M83)&lt;0,0,IRR($B$83:M83)))</f>
        <v>1.7230567797247573</v>
      </c>
      <c r="N88" s="355">
        <f>IF((ISERR(IRR($B$83:N83))),0,IF(IRR($B$83:N83)&lt;0,0,IRR($B$83:N83)))</f>
        <v>1.7230981686577937</v>
      </c>
      <c r="O88" s="355">
        <f>IF((ISERR(IRR($B$83:O83))),0,IF(IRR($B$83:O83)&lt;0,0,IRR($B$83:O83)))</f>
        <v>1.7231139987708359</v>
      </c>
      <c r="P88" s="355">
        <f>IF((ISERR(IRR($B$83:P83))),0,IF(IRR($B$83:P83)&lt;0,0,IRR($B$83:P83)))</f>
        <v>1.7231200541417473</v>
      </c>
      <c r="Q88" s="355">
        <f>IF((ISERR(IRR($B$83:Q83))),0,IF(IRR($B$83:Q83)&lt;0,0,IRR($B$83:Q83)))</f>
        <v>1.7231223705970837</v>
      </c>
      <c r="R88" s="355">
        <f>IF((ISERR(IRR($B$83:R83))),0,IF(IRR($B$83:R83)&lt;0,0,IRR($B$83:R83)))</f>
        <v>1.7231232567745103</v>
      </c>
      <c r="S88" s="355">
        <f>IF((ISERR(IRR($B$83:S83))),0,IF(IRR($B$83:S83)&lt;0,0,IRR($B$83:S83)))</f>
        <v>1.7231235957942275</v>
      </c>
      <c r="T88" s="355">
        <f>IF((ISERR(IRR($B$83:T83))),0,IF(IRR($B$83:T83)&lt;0,0,IRR($B$83:T83)))</f>
        <v>1.7231237254926479</v>
      </c>
      <c r="U88" s="355">
        <f>IF((ISERR(IRR($B$83:U83))),0,IF(IRR($B$83:U83)&lt;0,0,IRR($B$83:U83)))</f>
        <v>1.7231237751117239</v>
      </c>
      <c r="V88" s="355">
        <f>IF((ISERR(IRR($B$83:V83))),0,IF(IRR($B$83:V83)&lt;0,0,IRR($B$83:V83)))</f>
        <v>1.7231237940947901</v>
      </c>
      <c r="W88" s="355">
        <f>IF((ISERR(IRR($B$83:W83))),0,IF(IRR($B$83:W83)&lt;0,0,IRR($B$83:W83)))</f>
        <v>1.7231238013573127</v>
      </c>
      <c r="X88" s="355">
        <f>IF((ISERR(IRR($B$83:X83))),0,IF(IRR($B$83:X83)&lt;0,0,IRR($B$83:X83)))</f>
        <v>1.7231238041358217</v>
      </c>
      <c r="Y88" s="355">
        <f>IF((ISERR(IRR($B$83:Y83))),0,IF(IRR($B$83:Y83)&lt;0,0,IRR($B$83:Y83)))</f>
        <v>1.7231238051988353</v>
      </c>
      <c r="Z88" s="355">
        <f>IF((ISERR(IRR($B$83:Z83))),0,IF(IRR($B$83:Z83)&lt;0,0,IRR($B$83:Z83)))</f>
        <v>1.7231238056055309</v>
      </c>
      <c r="AA88" s="355">
        <f>IF((ISERR(IRR($B$83:AA83))),0,IF(IRR($B$83:AA83)&lt;0,0,IRR($B$83:AA83)))</f>
        <v>1.7231238057611269</v>
      </c>
      <c r="AB88" s="355">
        <f>IF((ISERR(IRR($B$83:AB83))),0,IF(IRR($B$83:AB83)&lt;0,0,IRR($B$83:AB83)))</f>
        <v>1.7231238058206526</v>
      </c>
      <c r="AC88" s="355">
        <f>IF((ISERR(IRR($B$83:AC83))),0,IF(IRR($B$83:AC83)&lt;0,0,IRR($B$83:AC83)))</f>
        <v>1.7231238058434211</v>
      </c>
      <c r="AD88" s="355">
        <f>IF((ISERR(IRR($B$83:AD83))),0,IF(IRR($B$83:AD83)&lt;0,0,IRR($B$83:AD83)))</f>
        <v>1.7231238058521217</v>
      </c>
      <c r="AE88" s="355">
        <f>IF((ISERR(IRR($B$83:AE83))),0,IF(IRR($B$83:AE83)&lt;0,0,IRR($B$83:AE83)))</f>
        <v>1.7231238058554319</v>
      </c>
      <c r="AF88" s="355">
        <f>IF((ISERR(IRR($B$83:AF83))),0,IF(IRR($B$83:AF83)&lt;0,0,IRR($B$83:AF83)))</f>
        <v>1.7231238058566687</v>
      </c>
      <c r="AG88" s="355">
        <f>IF((ISERR(IRR($B$83:AG83))),0,IF(IRR($B$83:AG83)&lt;0,0,IRR($B$83:AG83)))</f>
        <v>1.723123805857095</v>
      </c>
      <c r="AH88" s="355">
        <f>IF((ISERR(IRR($B$83:AH83))),0,IF(IRR($B$83:AH83)&lt;0,0,IRR($B$83:AH83)))</f>
        <v>1.7231238058571883</v>
      </c>
      <c r="AI88" s="355">
        <f>IF((ISERR(IRR($B$83:AI83))),0,IF(IRR($B$83:AI83)&lt;0,0,IRR($B$83:AI83)))</f>
        <v>1.7231238058575058</v>
      </c>
      <c r="AJ88" s="355">
        <f>IF((ISERR(IRR($B$83:AJ83))),0,IF(IRR($B$83:AJ83)&lt;0,0,IRR($B$83:AJ83)))</f>
        <v>1.7231238058575329</v>
      </c>
      <c r="AK88" s="355">
        <f>IF((ISERR(IRR($B$83:AK83))),0,IF(IRR($B$83:AK83)&lt;0,0,IRR($B$83:AK83)))</f>
        <v>1.7231238058575435</v>
      </c>
      <c r="AL88" s="355">
        <f>IF((ISERR(IRR($B$83:AL83))),0,IF(IRR($B$83:AL83)&lt;0,0,IRR($B$83:AL83)))</f>
        <v>1.723123805857548</v>
      </c>
      <c r="AM88" s="355">
        <f>IF((ISERR(IRR($B$83:AM83))),0,IF(IRR($B$83:AM83)&lt;0,0,IRR($B$83:AM83)))</f>
        <v>1.7231238058575489</v>
      </c>
      <c r="AN88" s="355">
        <f>IF((ISERR(IRR($B$83:AN83))),0,IF(IRR($B$83:AN83)&lt;0,0,IRR($B$83:AN83)))</f>
        <v>1.7231238058575493</v>
      </c>
      <c r="AO88" s="355">
        <f>IF((ISERR(IRR($B$83:AO83))),0,IF(IRR($B$83:AO83)&lt;0,0,IRR($B$83:AO83)))</f>
        <v>1.7231238058575493</v>
      </c>
      <c r="AP88" s="355">
        <f>IF((ISERR(IRR($B$83:AP83))),0,IF(IRR($B$83:AP83)&lt;0,0,IRR($B$83:AP83)))</f>
        <v>1.7231238058575502</v>
      </c>
    </row>
    <row r="89" spans="1:45" ht="14.25" x14ac:dyDescent="0.2">
      <c r="A89" s="217" t="s">
        <v>296</v>
      </c>
      <c r="B89" s="356">
        <f>IF(AND(B84&gt;0,A84&lt;0),(B74-(B84/(B84-A84))),0)</f>
        <v>0</v>
      </c>
      <c r="C89" s="356">
        <f t="shared" ref="C89:AP89" si="33">IF(AND(C84&gt;0,B84&lt;0),(C74-(C84/(C84-B84))),0)</f>
        <v>1.9154564186628276</v>
      </c>
      <c r="D89" s="356">
        <f t="shared" si="33"/>
        <v>0</v>
      </c>
      <c r="E89" s="356">
        <f t="shared" si="33"/>
        <v>0</v>
      </c>
      <c r="F89" s="356">
        <f t="shared" si="33"/>
        <v>0</v>
      </c>
      <c r="G89" s="356">
        <f t="shared" si="33"/>
        <v>0</v>
      </c>
      <c r="H89" s="356">
        <f>IF(AND(H84&gt;0,G84&lt;0),(H74-(H84/(H84-G84))),0)</f>
        <v>0</v>
      </c>
      <c r="I89" s="356">
        <f t="shared" si="33"/>
        <v>0</v>
      </c>
      <c r="J89" s="356">
        <f t="shared" si="33"/>
        <v>0</v>
      </c>
      <c r="K89" s="356">
        <f t="shared" si="33"/>
        <v>0</v>
      </c>
      <c r="L89" s="356">
        <f t="shared" si="33"/>
        <v>0</v>
      </c>
      <c r="M89" s="356">
        <f t="shared" si="33"/>
        <v>0</v>
      </c>
      <c r="N89" s="356">
        <f t="shared" si="33"/>
        <v>0</v>
      </c>
      <c r="O89" s="356">
        <f t="shared" si="33"/>
        <v>0</v>
      </c>
      <c r="P89" s="356">
        <f t="shared" si="33"/>
        <v>0</v>
      </c>
      <c r="Q89" s="356">
        <f t="shared" si="33"/>
        <v>0</v>
      </c>
      <c r="R89" s="356">
        <f t="shared" si="33"/>
        <v>0</v>
      </c>
      <c r="S89" s="356">
        <f t="shared" si="33"/>
        <v>0</v>
      </c>
      <c r="T89" s="356">
        <f t="shared" si="33"/>
        <v>0</v>
      </c>
      <c r="U89" s="356">
        <f t="shared" si="33"/>
        <v>0</v>
      </c>
      <c r="V89" s="356">
        <f t="shared" si="33"/>
        <v>0</v>
      </c>
      <c r="W89" s="356">
        <f t="shared" si="33"/>
        <v>0</v>
      </c>
      <c r="X89" s="356">
        <f t="shared" si="33"/>
        <v>0</v>
      </c>
      <c r="Y89" s="356">
        <f t="shared" si="33"/>
        <v>0</v>
      </c>
      <c r="Z89" s="356">
        <f t="shared" si="33"/>
        <v>0</v>
      </c>
      <c r="AA89" s="356">
        <f t="shared" si="33"/>
        <v>0</v>
      </c>
      <c r="AB89" s="356">
        <f t="shared" si="33"/>
        <v>0</v>
      </c>
      <c r="AC89" s="356">
        <f t="shared" si="33"/>
        <v>0</v>
      </c>
      <c r="AD89" s="356">
        <f t="shared" si="33"/>
        <v>0</v>
      </c>
      <c r="AE89" s="356">
        <f t="shared" si="33"/>
        <v>0</v>
      </c>
      <c r="AF89" s="356">
        <f t="shared" si="33"/>
        <v>0</v>
      </c>
      <c r="AG89" s="356">
        <f t="shared" si="33"/>
        <v>0</v>
      </c>
      <c r="AH89" s="356">
        <f t="shared" si="33"/>
        <v>0</v>
      </c>
      <c r="AI89" s="356">
        <f t="shared" si="33"/>
        <v>0</v>
      </c>
      <c r="AJ89" s="356">
        <f t="shared" si="33"/>
        <v>0</v>
      </c>
      <c r="AK89" s="356">
        <f t="shared" si="33"/>
        <v>0</v>
      </c>
      <c r="AL89" s="356">
        <f t="shared" si="33"/>
        <v>0</v>
      </c>
      <c r="AM89" s="356">
        <f t="shared" si="33"/>
        <v>0</v>
      </c>
      <c r="AN89" s="356">
        <f t="shared" si="33"/>
        <v>0</v>
      </c>
      <c r="AO89" s="356">
        <f t="shared" si="33"/>
        <v>0</v>
      </c>
      <c r="AP89" s="356">
        <f t="shared" si="33"/>
        <v>0</v>
      </c>
    </row>
    <row r="90" spans="1:45" ht="15" thickBot="1" x14ac:dyDescent="0.25">
      <c r="A90" s="227" t="s">
        <v>295</v>
      </c>
      <c r="B90" s="228">
        <f t="shared" ref="B90:AP90" si="34">IF(AND(B87&gt;0,A87&lt;0),(B74-(B87/(B87-A87))),0)</f>
        <v>0</v>
      </c>
      <c r="C90" s="228">
        <f t="shared" si="34"/>
        <v>0</v>
      </c>
      <c r="D90" s="228">
        <f t="shared" si="34"/>
        <v>2.0593184307466914</v>
      </c>
      <c r="E90" s="228">
        <f t="shared" si="34"/>
        <v>0</v>
      </c>
      <c r="F90" s="228">
        <f t="shared" si="34"/>
        <v>0</v>
      </c>
      <c r="G90" s="228">
        <f t="shared" si="34"/>
        <v>0</v>
      </c>
      <c r="H90" s="228">
        <f t="shared" si="34"/>
        <v>0</v>
      </c>
      <c r="I90" s="228">
        <f t="shared" si="34"/>
        <v>0</v>
      </c>
      <c r="J90" s="228">
        <f t="shared" si="34"/>
        <v>0</v>
      </c>
      <c r="K90" s="228">
        <f t="shared" si="34"/>
        <v>0</v>
      </c>
      <c r="L90" s="228">
        <f t="shared" si="34"/>
        <v>0</v>
      </c>
      <c r="M90" s="228">
        <f t="shared" si="34"/>
        <v>0</v>
      </c>
      <c r="N90" s="228">
        <f t="shared" si="34"/>
        <v>0</v>
      </c>
      <c r="O90" s="228">
        <f t="shared" si="34"/>
        <v>0</v>
      </c>
      <c r="P90" s="228">
        <f t="shared" si="34"/>
        <v>0</v>
      </c>
      <c r="Q90" s="228">
        <f t="shared" si="34"/>
        <v>0</v>
      </c>
      <c r="R90" s="228">
        <f t="shared" si="34"/>
        <v>0</v>
      </c>
      <c r="S90" s="228">
        <f t="shared" si="34"/>
        <v>0</v>
      </c>
      <c r="T90" s="228">
        <f t="shared" si="34"/>
        <v>0</v>
      </c>
      <c r="U90" s="228">
        <f t="shared" si="34"/>
        <v>0</v>
      </c>
      <c r="V90" s="228">
        <f t="shared" si="34"/>
        <v>0</v>
      </c>
      <c r="W90" s="228">
        <f t="shared" si="34"/>
        <v>0</v>
      </c>
      <c r="X90" s="228">
        <f t="shared" si="34"/>
        <v>0</v>
      </c>
      <c r="Y90" s="228">
        <f t="shared" si="34"/>
        <v>0</v>
      </c>
      <c r="Z90" s="228">
        <f t="shared" si="34"/>
        <v>0</v>
      </c>
      <c r="AA90" s="228">
        <f t="shared" si="34"/>
        <v>0</v>
      </c>
      <c r="AB90" s="228">
        <f t="shared" si="34"/>
        <v>0</v>
      </c>
      <c r="AC90" s="228">
        <f t="shared" si="34"/>
        <v>0</v>
      </c>
      <c r="AD90" s="228">
        <f t="shared" si="34"/>
        <v>0</v>
      </c>
      <c r="AE90" s="228">
        <f t="shared" si="34"/>
        <v>0</v>
      </c>
      <c r="AF90" s="228">
        <f t="shared" si="34"/>
        <v>0</v>
      </c>
      <c r="AG90" s="228">
        <f t="shared" si="34"/>
        <v>0</v>
      </c>
      <c r="AH90" s="228">
        <f t="shared" si="34"/>
        <v>0</v>
      </c>
      <c r="AI90" s="228">
        <f t="shared" si="34"/>
        <v>0</v>
      </c>
      <c r="AJ90" s="228">
        <f t="shared" si="34"/>
        <v>0</v>
      </c>
      <c r="AK90" s="228">
        <f t="shared" si="34"/>
        <v>0</v>
      </c>
      <c r="AL90" s="228">
        <f t="shared" si="34"/>
        <v>0</v>
      </c>
      <c r="AM90" s="228">
        <f t="shared" si="34"/>
        <v>0</v>
      </c>
      <c r="AN90" s="228">
        <f t="shared" si="34"/>
        <v>0</v>
      </c>
      <c r="AO90" s="228">
        <f t="shared" si="34"/>
        <v>0</v>
      </c>
      <c r="AP90" s="228">
        <f t="shared" si="34"/>
        <v>0</v>
      </c>
    </row>
    <row r="91" spans="1:45" s="205" customFormat="1" x14ac:dyDescent="0.2">
      <c r="A91" s="185"/>
      <c r="B91" s="229">
        <v>2019</v>
      </c>
      <c r="C91" s="229">
        <f>B91+1</f>
        <v>2020</v>
      </c>
      <c r="D91" s="170">
        <f t="shared" ref="D91:AP91" si="35">C91+1</f>
        <v>2021</v>
      </c>
      <c r="E91" s="170">
        <f t="shared" si="35"/>
        <v>2022</v>
      </c>
      <c r="F91" s="170">
        <f t="shared" si="35"/>
        <v>2023</v>
      </c>
      <c r="G91" s="170">
        <f t="shared" si="35"/>
        <v>2024</v>
      </c>
      <c r="H91" s="170">
        <f t="shared" si="35"/>
        <v>2025</v>
      </c>
      <c r="I91" s="170">
        <f t="shared" si="35"/>
        <v>2026</v>
      </c>
      <c r="J91" s="170">
        <f t="shared" si="35"/>
        <v>2027</v>
      </c>
      <c r="K91" s="170">
        <f t="shared" si="35"/>
        <v>2028</v>
      </c>
      <c r="L91" s="170">
        <f t="shared" si="35"/>
        <v>2029</v>
      </c>
      <c r="M91" s="170">
        <f t="shared" si="35"/>
        <v>2030</v>
      </c>
      <c r="N91" s="170">
        <f t="shared" si="35"/>
        <v>2031</v>
      </c>
      <c r="O91" s="170">
        <f t="shared" si="35"/>
        <v>2032</v>
      </c>
      <c r="P91" s="170">
        <f t="shared" si="35"/>
        <v>2033</v>
      </c>
      <c r="Q91" s="170">
        <f t="shared" si="35"/>
        <v>2034</v>
      </c>
      <c r="R91" s="170">
        <f t="shared" si="35"/>
        <v>2035</v>
      </c>
      <c r="S91" s="170">
        <f t="shared" si="35"/>
        <v>2036</v>
      </c>
      <c r="T91" s="170">
        <f t="shared" si="35"/>
        <v>2037</v>
      </c>
      <c r="U91" s="170">
        <f t="shared" si="35"/>
        <v>2038</v>
      </c>
      <c r="V91" s="170">
        <f t="shared" si="35"/>
        <v>2039</v>
      </c>
      <c r="W91" s="170">
        <f t="shared" si="35"/>
        <v>2040</v>
      </c>
      <c r="X91" s="170">
        <f t="shared" si="35"/>
        <v>2041</v>
      </c>
      <c r="Y91" s="170">
        <f t="shared" si="35"/>
        <v>2042</v>
      </c>
      <c r="Z91" s="170">
        <f t="shared" si="35"/>
        <v>2043</v>
      </c>
      <c r="AA91" s="170">
        <f t="shared" si="35"/>
        <v>2044</v>
      </c>
      <c r="AB91" s="170">
        <f t="shared" si="35"/>
        <v>2045</v>
      </c>
      <c r="AC91" s="170">
        <f t="shared" si="35"/>
        <v>2046</v>
      </c>
      <c r="AD91" s="170">
        <f t="shared" si="35"/>
        <v>2047</v>
      </c>
      <c r="AE91" s="170">
        <f t="shared" si="35"/>
        <v>2048</v>
      </c>
      <c r="AF91" s="170">
        <f t="shared" si="35"/>
        <v>2049</v>
      </c>
      <c r="AG91" s="170">
        <f t="shared" si="35"/>
        <v>2050</v>
      </c>
      <c r="AH91" s="170">
        <f t="shared" si="35"/>
        <v>2051</v>
      </c>
      <c r="AI91" s="170">
        <f t="shared" si="35"/>
        <v>2052</v>
      </c>
      <c r="AJ91" s="170">
        <f t="shared" si="35"/>
        <v>2053</v>
      </c>
      <c r="AK91" s="170">
        <f t="shared" si="35"/>
        <v>2054</v>
      </c>
      <c r="AL91" s="170">
        <f t="shared" si="35"/>
        <v>2055</v>
      </c>
      <c r="AM91" s="170">
        <f t="shared" si="35"/>
        <v>2056</v>
      </c>
      <c r="AN91" s="170">
        <f t="shared" si="35"/>
        <v>2057</v>
      </c>
      <c r="AO91" s="170">
        <f t="shared" si="35"/>
        <v>2058</v>
      </c>
      <c r="AP91" s="170">
        <f t="shared" si="35"/>
        <v>2059</v>
      </c>
      <c r="AQ91" s="171"/>
      <c r="AR91" s="171"/>
      <c r="AS91" s="171"/>
    </row>
    <row r="92" spans="1:45" ht="15.6" customHeight="1" x14ac:dyDescent="0.2">
      <c r="A92" s="230" t="s">
        <v>294</v>
      </c>
      <c r="B92" s="115"/>
      <c r="C92" s="115"/>
      <c r="D92" s="115"/>
      <c r="E92" s="115"/>
      <c r="F92" s="115"/>
      <c r="G92" s="115"/>
      <c r="H92" s="115"/>
      <c r="I92" s="115"/>
      <c r="J92" s="115"/>
      <c r="K92" s="115"/>
      <c r="L92" s="231">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4" t="s">
        <v>542</v>
      </c>
      <c r="B97" s="484"/>
      <c r="C97" s="484"/>
      <c r="D97" s="484"/>
      <c r="E97" s="484"/>
      <c r="F97" s="484"/>
      <c r="G97" s="484"/>
      <c r="H97" s="484"/>
      <c r="I97" s="484"/>
      <c r="J97" s="484"/>
      <c r="K97" s="484"/>
      <c r="L97" s="484"/>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row>
    <row r="98" spans="1:71" ht="16.5" thickBot="1" x14ac:dyDescent="0.25">
      <c r="C98" s="232"/>
    </row>
    <row r="99" spans="1:71" s="238" customFormat="1" ht="16.5" thickTop="1" x14ac:dyDescent="0.2">
      <c r="A99" s="233" t="s">
        <v>543</v>
      </c>
      <c r="B99" s="234">
        <f>B81*B85</f>
        <v>-1499684.1502813885</v>
      </c>
      <c r="C99" s="235">
        <f>C81*C85</f>
        <v>0</v>
      </c>
      <c r="D99" s="235">
        <f t="shared" ref="D99:AP99" si="36">D81*D85</f>
        <v>0</v>
      </c>
      <c r="E99" s="235">
        <f t="shared" si="36"/>
        <v>0</v>
      </c>
      <c r="F99" s="235">
        <f t="shared" si="36"/>
        <v>0</v>
      </c>
      <c r="G99" s="235">
        <f t="shared" si="36"/>
        <v>0</v>
      </c>
      <c r="H99" s="235">
        <f t="shared" si="36"/>
        <v>0</v>
      </c>
      <c r="I99" s="235">
        <f t="shared" si="36"/>
        <v>0</v>
      </c>
      <c r="J99" s="235">
        <f>J81*J85</f>
        <v>0</v>
      </c>
      <c r="K99" s="235">
        <f t="shared" si="36"/>
        <v>0</v>
      </c>
      <c r="L99" s="235">
        <f>L81*L85</f>
        <v>0</v>
      </c>
      <c r="M99" s="235">
        <f t="shared" si="36"/>
        <v>0</v>
      </c>
      <c r="N99" s="235">
        <f t="shared" si="36"/>
        <v>0</v>
      </c>
      <c r="O99" s="235">
        <f t="shared" si="36"/>
        <v>0</v>
      </c>
      <c r="P99" s="235">
        <f t="shared" si="36"/>
        <v>0</v>
      </c>
      <c r="Q99" s="235">
        <f t="shared" si="36"/>
        <v>0</v>
      </c>
      <c r="R99" s="235">
        <f t="shared" si="36"/>
        <v>0</v>
      </c>
      <c r="S99" s="235">
        <f t="shared" si="36"/>
        <v>0</v>
      </c>
      <c r="T99" s="235">
        <f t="shared" si="36"/>
        <v>0</v>
      </c>
      <c r="U99" s="235">
        <f t="shared" si="36"/>
        <v>0</v>
      </c>
      <c r="V99" s="235">
        <f t="shared" si="36"/>
        <v>0</v>
      </c>
      <c r="W99" s="235">
        <f t="shared" si="36"/>
        <v>0</v>
      </c>
      <c r="X99" s="235">
        <f t="shared" si="36"/>
        <v>0</v>
      </c>
      <c r="Y99" s="235">
        <f t="shared" si="36"/>
        <v>0</v>
      </c>
      <c r="Z99" s="235">
        <f t="shared" si="36"/>
        <v>0</v>
      </c>
      <c r="AA99" s="235">
        <f t="shared" si="36"/>
        <v>0</v>
      </c>
      <c r="AB99" s="235">
        <f t="shared" si="36"/>
        <v>0</v>
      </c>
      <c r="AC99" s="235">
        <f t="shared" si="36"/>
        <v>0</v>
      </c>
      <c r="AD99" s="235">
        <f t="shared" si="36"/>
        <v>0</v>
      </c>
      <c r="AE99" s="235">
        <f t="shared" si="36"/>
        <v>0</v>
      </c>
      <c r="AF99" s="235">
        <f t="shared" si="36"/>
        <v>0</v>
      </c>
      <c r="AG99" s="235">
        <f t="shared" si="36"/>
        <v>0</v>
      </c>
      <c r="AH99" s="235">
        <f t="shared" si="36"/>
        <v>0</v>
      </c>
      <c r="AI99" s="235">
        <f t="shared" si="36"/>
        <v>0</v>
      </c>
      <c r="AJ99" s="235">
        <f t="shared" si="36"/>
        <v>0</v>
      </c>
      <c r="AK99" s="235">
        <f t="shared" si="36"/>
        <v>0</v>
      </c>
      <c r="AL99" s="235">
        <f t="shared" si="36"/>
        <v>0</v>
      </c>
      <c r="AM99" s="235">
        <f t="shared" si="36"/>
        <v>0</v>
      </c>
      <c r="AN99" s="235">
        <f t="shared" si="36"/>
        <v>0</v>
      </c>
      <c r="AO99" s="235">
        <f t="shared" si="36"/>
        <v>0</v>
      </c>
      <c r="AP99" s="235">
        <f t="shared" si="36"/>
        <v>0</v>
      </c>
      <c r="AQ99" s="236">
        <f>SUM(B99:AP99)</f>
        <v>-1499684.1502813885</v>
      </c>
      <c r="AR99" s="237"/>
      <c r="AS99" s="237"/>
    </row>
    <row r="100" spans="1:71" s="241" customFormat="1" x14ac:dyDescent="0.2">
      <c r="A100" s="239">
        <f>AQ99</f>
        <v>-1499684.1502813885</v>
      </c>
      <c r="B100" s="240"/>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71"/>
      <c r="AR100" s="171"/>
      <c r="AS100" s="171"/>
    </row>
    <row r="101" spans="1:71" s="241" customFormat="1" x14ac:dyDescent="0.2">
      <c r="A101" s="239">
        <f>AP87</f>
        <v>5004600.268643369</v>
      </c>
      <c r="B101" s="240"/>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71"/>
      <c r="AR101" s="171"/>
      <c r="AS101" s="171"/>
    </row>
    <row r="102" spans="1:71" s="241" customFormat="1" x14ac:dyDescent="0.2">
      <c r="A102" s="242" t="s">
        <v>544</v>
      </c>
      <c r="B102" s="357">
        <f>(A101+-A100)/-A100</f>
        <v>4.3371028610953486</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71"/>
      <c r="AR102" s="171"/>
      <c r="AS102" s="171"/>
    </row>
    <row r="103" spans="1:71" s="241" customFormat="1" x14ac:dyDescent="0.2">
      <c r="A103" s="243"/>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71"/>
      <c r="AR103" s="171"/>
      <c r="AS103" s="171"/>
    </row>
    <row r="104" spans="1:71" ht="12.75" x14ac:dyDescent="0.2">
      <c r="A104" s="358" t="s">
        <v>545</v>
      </c>
      <c r="B104" s="358" t="s">
        <v>546</v>
      </c>
      <c r="C104" s="358" t="s">
        <v>547</v>
      </c>
      <c r="D104" s="358" t="s">
        <v>548</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x14ac:dyDescent="0.2">
      <c r="A105" s="359">
        <f>G30/1000/1000</f>
        <v>3.59437017475065</v>
      </c>
      <c r="B105" s="360">
        <f>L88</f>
        <v>1.7229485337480077</v>
      </c>
      <c r="C105" s="361">
        <f>G28</f>
        <v>1.9154564186628276</v>
      </c>
      <c r="D105" s="361">
        <f>G29</f>
        <v>2.0593184307466914</v>
      </c>
      <c r="E105" s="246" t="s">
        <v>549</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c r="AT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row>
    <row r="106" spans="1:71" ht="12.75" x14ac:dyDescent="0.2">
      <c r="A106" s="247"/>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x14ac:dyDescent="0.2">
      <c r="A107" s="362"/>
      <c r="B107" s="363">
        <v>2016</v>
      </c>
      <c r="C107" s="363">
        <v>2017</v>
      </c>
      <c r="D107" s="364">
        <f t="shared" ref="D107:AP107" si="37">C107+1</f>
        <v>2018</v>
      </c>
      <c r="E107" s="364">
        <f t="shared" si="37"/>
        <v>2019</v>
      </c>
      <c r="F107" s="364">
        <f t="shared" si="37"/>
        <v>2020</v>
      </c>
      <c r="G107" s="364">
        <f t="shared" si="37"/>
        <v>2021</v>
      </c>
      <c r="H107" s="364">
        <f t="shared" si="37"/>
        <v>2022</v>
      </c>
      <c r="I107" s="364">
        <f t="shared" si="37"/>
        <v>2023</v>
      </c>
      <c r="J107" s="364">
        <f t="shared" si="37"/>
        <v>2024</v>
      </c>
      <c r="K107" s="364">
        <f t="shared" si="37"/>
        <v>2025</v>
      </c>
      <c r="L107" s="364">
        <f t="shared" si="37"/>
        <v>2026</v>
      </c>
      <c r="M107" s="364">
        <f t="shared" si="37"/>
        <v>2027</v>
      </c>
      <c r="N107" s="364">
        <f t="shared" si="37"/>
        <v>2028</v>
      </c>
      <c r="O107" s="364">
        <f t="shared" si="37"/>
        <v>2029</v>
      </c>
      <c r="P107" s="364">
        <f t="shared" si="37"/>
        <v>2030</v>
      </c>
      <c r="Q107" s="364">
        <f t="shared" si="37"/>
        <v>2031</v>
      </c>
      <c r="R107" s="364">
        <f t="shared" si="37"/>
        <v>2032</v>
      </c>
      <c r="S107" s="364">
        <f t="shared" si="37"/>
        <v>2033</v>
      </c>
      <c r="T107" s="364">
        <f t="shared" si="37"/>
        <v>2034</v>
      </c>
      <c r="U107" s="364">
        <f t="shared" si="37"/>
        <v>2035</v>
      </c>
      <c r="V107" s="364">
        <f t="shared" si="37"/>
        <v>2036</v>
      </c>
      <c r="W107" s="364">
        <f t="shared" si="37"/>
        <v>2037</v>
      </c>
      <c r="X107" s="364">
        <f t="shared" si="37"/>
        <v>2038</v>
      </c>
      <c r="Y107" s="364">
        <f t="shared" si="37"/>
        <v>2039</v>
      </c>
      <c r="Z107" s="364">
        <f t="shared" si="37"/>
        <v>2040</v>
      </c>
      <c r="AA107" s="364">
        <f t="shared" si="37"/>
        <v>2041</v>
      </c>
      <c r="AB107" s="364">
        <f t="shared" si="37"/>
        <v>2042</v>
      </c>
      <c r="AC107" s="364">
        <f t="shared" si="37"/>
        <v>2043</v>
      </c>
      <c r="AD107" s="364">
        <f t="shared" si="37"/>
        <v>2044</v>
      </c>
      <c r="AE107" s="364">
        <f t="shared" si="37"/>
        <v>2045</v>
      </c>
      <c r="AF107" s="364">
        <f t="shared" si="37"/>
        <v>2046</v>
      </c>
      <c r="AG107" s="364">
        <f t="shared" si="37"/>
        <v>2047</v>
      </c>
      <c r="AH107" s="364">
        <f t="shared" si="37"/>
        <v>2048</v>
      </c>
      <c r="AI107" s="364">
        <f t="shared" si="37"/>
        <v>2049</v>
      </c>
      <c r="AJ107" s="364">
        <f t="shared" si="37"/>
        <v>2050</v>
      </c>
      <c r="AK107" s="364">
        <f t="shared" si="37"/>
        <v>2051</v>
      </c>
      <c r="AL107" s="364">
        <f t="shared" si="37"/>
        <v>2052</v>
      </c>
      <c r="AM107" s="364">
        <f t="shared" si="37"/>
        <v>2053</v>
      </c>
      <c r="AN107" s="364">
        <f t="shared" si="37"/>
        <v>2054</v>
      </c>
      <c r="AO107" s="364">
        <f t="shared" si="37"/>
        <v>2055</v>
      </c>
      <c r="AP107" s="364">
        <f t="shared" si="37"/>
        <v>2056</v>
      </c>
      <c r="AT107" s="241"/>
      <c r="AU107" s="241"/>
      <c r="AV107" s="241"/>
      <c r="AW107" s="241"/>
      <c r="AX107" s="241"/>
      <c r="AY107" s="241"/>
      <c r="AZ107" s="241"/>
      <c r="BA107" s="241"/>
      <c r="BB107" s="241"/>
      <c r="BC107" s="241"/>
      <c r="BD107" s="241"/>
      <c r="BE107" s="241"/>
      <c r="BF107" s="241"/>
      <c r="BG107" s="241"/>
    </row>
    <row r="108" spans="1:71" ht="12.75" x14ac:dyDescent="0.2">
      <c r="A108" s="365" t="s">
        <v>550</v>
      </c>
      <c r="B108" s="366"/>
      <c r="C108" s="366">
        <f>C109*$B$111*$B$112*1000</f>
        <v>481634.7426</v>
      </c>
      <c r="D108" s="366">
        <f t="shared" ref="D108:AP108" si="38">D109*$B$111*$B$112*1000</f>
        <v>963269.4852</v>
      </c>
      <c r="E108" s="366">
        <f>E109*$B$111*$B$112*1000</f>
        <v>1459499.2200000002</v>
      </c>
      <c r="F108" s="366">
        <f t="shared" si="38"/>
        <v>1459499.2200000002</v>
      </c>
      <c r="G108" s="366">
        <f t="shared" si="38"/>
        <v>1459499.2200000002</v>
      </c>
      <c r="H108" s="366">
        <f t="shared" si="38"/>
        <v>1459499.2200000002</v>
      </c>
      <c r="I108" s="366">
        <f t="shared" si="38"/>
        <v>1459499.2200000002</v>
      </c>
      <c r="J108" s="366">
        <f t="shared" si="38"/>
        <v>1459499.2200000002</v>
      </c>
      <c r="K108" s="366">
        <f t="shared" si="38"/>
        <v>1459499.2200000002</v>
      </c>
      <c r="L108" s="366">
        <f t="shared" si="38"/>
        <v>1459499.2200000002</v>
      </c>
      <c r="M108" s="366">
        <f t="shared" si="38"/>
        <v>1459499.2200000002</v>
      </c>
      <c r="N108" s="366">
        <f t="shared" si="38"/>
        <v>1459499.2200000002</v>
      </c>
      <c r="O108" s="366">
        <f t="shared" si="38"/>
        <v>1459499.2200000002</v>
      </c>
      <c r="P108" s="366">
        <f t="shared" si="38"/>
        <v>1459499.2200000002</v>
      </c>
      <c r="Q108" s="366">
        <f t="shared" si="38"/>
        <v>1459499.2200000002</v>
      </c>
      <c r="R108" s="366">
        <f t="shared" si="38"/>
        <v>1459499.2200000002</v>
      </c>
      <c r="S108" s="366">
        <f t="shared" si="38"/>
        <v>1459499.2200000002</v>
      </c>
      <c r="T108" s="366">
        <f t="shared" si="38"/>
        <v>1459499.2200000002</v>
      </c>
      <c r="U108" s="366">
        <f t="shared" si="38"/>
        <v>1459499.2200000002</v>
      </c>
      <c r="V108" s="366">
        <f t="shared" si="38"/>
        <v>1459499.2200000002</v>
      </c>
      <c r="W108" s="366">
        <f t="shared" si="38"/>
        <v>1459499.2200000002</v>
      </c>
      <c r="X108" s="366">
        <f t="shared" si="38"/>
        <v>1459499.2200000002</v>
      </c>
      <c r="Y108" s="366">
        <f t="shared" si="38"/>
        <v>1459499.2200000002</v>
      </c>
      <c r="Z108" s="366">
        <f t="shared" si="38"/>
        <v>1459499.2200000002</v>
      </c>
      <c r="AA108" s="366">
        <f t="shared" si="38"/>
        <v>1459499.2200000002</v>
      </c>
      <c r="AB108" s="366">
        <f t="shared" si="38"/>
        <v>1459499.2200000002</v>
      </c>
      <c r="AC108" s="366">
        <f t="shared" si="38"/>
        <v>1459499.2200000002</v>
      </c>
      <c r="AD108" s="366">
        <f t="shared" si="38"/>
        <v>1459499.2200000002</v>
      </c>
      <c r="AE108" s="366">
        <f t="shared" si="38"/>
        <v>1459499.2200000002</v>
      </c>
      <c r="AF108" s="366">
        <f t="shared" si="38"/>
        <v>1459499.2200000002</v>
      </c>
      <c r="AG108" s="366">
        <f t="shared" si="38"/>
        <v>1459499.2200000002</v>
      </c>
      <c r="AH108" s="366">
        <f t="shared" si="38"/>
        <v>1459499.2200000002</v>
      </c>
      <c r="AI108" s="366">
        <f t="shared" si="38"/>
        <v>1459499.2200000002</v>
      </c>
      <c r="AJ108" s="366">
        <f t="shared" si="38"/>
        <v>1459499.2200000002</v>
      </c>
      <c r="AK108" s="366">
        <f t="shared" si="38"/>
        <v>1459499.2200000002</v>
      </c>
      <c r="AL108" s="366">
        <f t="shared" si="38"/>
        <v>1459499.2200000002</v>
      </c>
      <c r="AM108" s="366">
        <f t="shared" si="38"/>
        <v>1459499.2200000002</v>
      </c>
      <c r="AN108" s="366">
        <f t="shared" si="38"/>
        <v>1459499.2200000002</v>
      </c>
      <c r="AO108" s="366">
        <f t="shared" si="38"/>
        <v>1459499.2200000002</v>
      </c>
      <c r="AP108" s="366">
        <f t="shared" si="38"/>
        <v>1459499.2200000002</v>
      </c>
      <c r="AT108" s="241"/>
      <c r="AU108" s="241"/>
      <c r="AV108" s="241"/>
      <c r="AW108" s="241"/>
      <c r="AX108" s="241"/>
      <c r="AY108" s="241"/>
      <c r="AZ108" s="241"/>
      <c r="BA108" s="241"/>
      <c r="BB108" s="241"/>
      <c r="BC108" s="241"/>
      <c r="BD108" s="241"/>
      <c r="BE108" s="241"/>
      <c r="BF108" s="241"/>
      <c r="BG108" s="241"/>
    </row>
    <row r="109" spans="1:71" ht="12.75" x14ac:dyDescent="0.2">
      <c r="A109" s="365" t="s">
        <v>551</v>
      </c>
      <c r="B109" s="364"/>
      <c r="C109" s="364">
        <f>B109+$I$120*C113</f>
        <v>7.6725000000000002E-2</v>
      </c>
      <c r="D109" s="364">
        <f>C109+$I$120*D113</f>
        <v>0.15345</v>
      </c>
      <c r="E109" s="364">
        <f t="shared" ref="E109:AP109" si="39">D109+$I$120*E113</f>
        <v>0.23250000000000001</v>
      </c>
      <c r="F109" s="364">
        <f t="shared" si="39"/>
        <v>0.23250000000000001</v>
      </c>
      <c r="G109" s="364">
        <f t="shared" si="39"/>
        <v>0.23250000000000001</v>
      </c>
      <c r="H109" s="364">
        <f t="shared" si="39"/>
        <v>0.23250000000000001</v>
      </c>
      <c r="I109" s="364">
        <f t="shared" si="39"/>
        <v>0.23250000000000001</v>
      </c>
      <c r="J109" s="364">
        <f t="shared" si="39"/>
        <v>0.23250000000000001</v>
      </c>
      <c r="K109" s="364">
        <f t="shared" si="39"/>
        <v>0.23250000000000001</v>
      </c>
      <c r="L109" s="364">
        <f t="shared" si="39"/>
        <v>0.23250000000000001</v>
      </c>
      <c r="M109" s="364">
        <f t="shared" si="39"/>
        <v>0.23250000000000001</v>
      </c>
      <c r="N109" s="364">
        <f t="shared" si="39"/>
        <v>0.23250000000000001</v>
      </c>
      <c r="O109" s="364">
        <f t="shared" si="39"/>
        <v>0.23250000000000001</v>
      </c>
      <c r="P109" s="364">
        <f t="shared" si="39"/>
        <v>0.23250000000000001</v>
      </c>
      <c r="Q109" s="364">
        <f t="shared" si="39"/>
        <v>0.23250000000000001</v>
      </c>
      <c r="R109" s="364">
        <f t="shared" si="39"/>
        <v>0.23250000000000001</v>
      </c>
      <c r="S109" s="364">
        <f t="shared" si="39"/>
        <v>0.23250000000000001</v>
      </c>
      <c r="T109" s="364">
        <f t="shared" si="39"/>
        <v>0.23250000000000001</v>
      </c>
      <c r="U109" s="364">
        <f t="shared" si="39"/>
        <v>0.23250000000000001</v>
      </c>
      <c r="V109" s="364">
        <f t="shared" si="39"/>
        <v>0.23250000000000001</v>
      </c>
      <c r="W109" s="364">
        <f t="shared" si="39"/>
        <v>0.23250000000000001</v>
      </c>
      <c r="X109" s="364">
        <f t="shared" si="39"/>
        <v>0.23250000000000001</v>
      </c>
      <c r="Y109" s="364">
        <f t="shared" si="39"/>
        <v>0.23250000000000001</v>
      </c>
      <c r="Z109" s="364">
        <f t="shared" si="39"/>
        <v>0.23250000000000001</v>
      </c>
      <c r="AA109" s="364">
        <f t="shared" si="39"/>
        <v>0.23250000000000001</v>
      </c>
      <c r="AB109" s="364">
        <f t="shared" si="39"/>
        <v>0.23250000000000001</v>
      </c>
      <c r="AC109" s="364">
        <f t="shared" si="39"/>
        <v>0.23250000000000001</v>
      </c>
      <c r="AD109" s="364">
        <f t="shared" si="39"/>
        <v>0.23250000000000001</v>
      </c>
      <c r="AE109" s="364">
        <f t="shared" si="39"/>
        <v>0.23250000000000001</v>
      </c>
      <c r="AF109" s="364">
        <f t="shared" si="39"/>
        <v>0.23250000000000001</v>
      </c>
      <c r="AG109" s="364">
        <f t="shared" si="39"/>
        <v>0.23250000000000001</v>
      </c>
      <c r="AH109" s="364">
        <f t="shared" si="39"/>
        <v>0.23250000000000001</v>
      </c>
      <c r="AI109" s="364">
        <f t="shared" si="39"/>
        <v>0.23250000000000001</v>
      </c>
      <c r="AJ109" s="364">
        <f t="shared" si="39"/>
        <v>0.23250000000000001</v>
      </c>
      <c r="AK109" s="364">
        <f t="shared" si="39"/>
        <v>0.23250000000000001</v>
      </c>
      <c r="AL109" s="364">
        <f t="shared" si="39"/>
        <v>0.23250000000000001</v>
      </c>
      <c r="AM109" s="364">
        <f t="shared" si="39"/>
        <v>0.23250000000000001</v>
      </c>
      <c r="AN109" s="364">
        <f t="shared" si="39"/>
        <v>0.23250000000000001</v>
      </c>
      <c r="AO109" s="364">
        <f t="shared" si="39"/>
        <v>0.23250000000000001</v>
      </c>
      <c r="AP109" s="364">
        <f t="shared" si="39"/>
        <v>0.23250000000000001</v>
      </c>
      <c r="AT109" s="241"/>
      <c r="AU109" s="241"/>
      <c r="AV109" s="241"/>
      <c r="AW109" s="241"/>
      <c r="AX109" s="241"/>
      <c r="AY109" s="241"/>
      <c r="AZ109" s="241"/>
      <c r="BA109" s="241"/>
      <c r="BB109" s="241"/>
      <c r="BC109" s="241"/>
      <c r="BD109" s="241"/>
      <c r="BE109" s="241"/>
      <c r="BF109" s="241"/>
      <c r="BG109" s="241"/>
    </row>
    <row r="110" spans="1:71" ht="12.75" x14ac:dyDescent="0.2">
      <c r="A110" s="365" t="s">
        <v>552</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241"/>
      <c r="AU110" s="241"/>
      <c r="AV110" s="241"/>
      <c r="AW110" s="241"/>
      <c r="AX110" s="241"/>
      <c r="AY110" s="241"/>
      <c r="AZ110" s="241"/>
      <c r="BA110" s="241"/>
      <c r="BB110" s="241"/>
      <c r="BC110" s="241"/>
      <c r="BD110" s="241"/>
      <c r="BE110" s="241"/>
      <c r="BF110" s="241"/>
      <c r="BG110" s="241"/>
    </row>
    <row r="111" spans="1:71" ht="12.75" x14ac:dyDescent="0.2">
      <c r="A111" s="365" t="s">
        <v>553</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241"/>
      <c r="AU111" s="241"/>
      <c r="AV111" s="241"/>
      <c r="AW111" s="241"/>
      <c r="AX111" s="241"/>
      <c r="AY111" s="241"/>
      <c r="AZ111" s="241"/>
      <c r="BA111" s="241"/>
      <c r="BB111" s="241"/>
      <c r="BC111" s="241"/>
      <c r="BD111" s="241"/>
      <c r="BE111" s="241"/>
      <c r="BF111" s="241"/>
      <c r="BG111" s="241"/>
    </row>
    <row r="112" spans="1:71" ht="12.75" x14ac:dyDescent="0.2">
      <c r="A112" s="365" t="s">
        <v>554</v>
      </c>
      <c r="B112" s="363">
        <f>$B$131</f>
        <v>1.4332</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241"/>
      <c r="AU112" s="241"/>
      <c r="AV112" s="241"/>
      <c r="AW112" s="241"/>
      <c r="AX112" s="241"/>
      <c r="AY112" s="241"/>
      <c r="AZ112" s="241"/>
      <c r="BA112" s="241"/>
      <c r="BB112" s="241"/>
      <c r="BC112" s="241"/>
      <c r="BD112" s="241"/>
      <c r="BE112" s="241"/>
      <c r="BF112" s="241"/>
      <c r="BG112" s="241"/>
    </row>
    <row r="113" spans="1:71" ht="15" x14ac:dyDescent="0.2">
      <c r="A113" s="368" t="s">
        <v>555</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241"/>
      <c r="AU113" s="241"/>
      <c r="AV113" s="241"/>
      <c r="AW113" s="241"/>
      <c r="AX113" s="241"/>
      <c r="AY113" s="241"/>
      <c r="AZ113" s="241"/>
      <c r="BA113" s="241"/>
      <c r="BB113" s="241"/>
      <c r="BC113" s="241"/>
      <c r="BD113" s="241"/>
      <c r="BE113" s="241"/>
      <c r="BF113" s="241"/>
      <c r="BG113" s="241"/>
    </row>
    <row r="114" spans="1:71" ht="12.75" x14ac:dyDescent="0.2">
      <c r="A114" s="247"/>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x14ac:dyDescent="0.2">
      <c r="A115" s="247"/>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x14ac:dyDescent="0.2">
      <c r="A116" s="362"/>
      <c r="B116" s="485" t="s">
        <v>556</v>
      </c>
      <c r="C116" s="486"/>
      <c r="D116" s="485" t="s">
        <v>557</v>
      </c>
      <c r="E116" s="486"/>
      <c r="F116" s="362"/>
      <c r="G116" s="362"/>
      <c r="H116" s="362"/>
      <c r="I116" s="362"/>
      <c r="J116" s="362"/>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x14ac:dyDescent="0.2">
      <c r="A117" s="365" t="s">
        <v>558</v>
      </c>
      <c r="B117" s="371"/>
      <c r="C117" s="362" t="s">
        <v>559</v>
      </c>
      <c r="D117" s="371">
        <f>'3.1. паспорт Техсостояние ПС'!O25</f>
        <v>0.25</v>
      </c>
      <c r="E117" s="362" t="s">
        <v>559</v>
      </c>
      <c r="F117" s="362"/>
      <c r="G117" s="362"/>
      <c r="H117" s="362"/>
      <c r="I117" s="362"/>
      <c r="J117" s="362"/>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x14ac:dyDescent="0.2">
      <c r="A118" s="365" t="s">
        <v>558</v>
      </c>
      <c r="B118" s="362">
        <f>$B$110*B117</f>
        <v>0</v>
      </c>
      <c r="C118" s="362" t="s">
        <v>126</v>
      </c>
      <c r="D118" s="362">
        <f>$B$110*D117</f>
        <v>0.23250000000000001</v>
      </c>
      <c r="E118" s="362" t="s">
        <v>126</v>
      </c>
      <c r="F118" s="365" t="s">
        <v>560</v>
      </c>
      <c r="G118" s="362">
        <f>D117-B117</f>
        <v>0.25</v>
      </c>
      <c r="H118" s="362" t="s">
        <v>559</v>
      </c>
      <c r="I118" s="372">
        <f>$B$110*G118</f>
        <v>0.23250000000000001</v>
      </c>
      <c r="J118" s="362" t="s">
        <v>126</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x14ac:dyDescent="0.2">
      <c r="A119" s="362"/>
      <c r="B119" s="362"/>
      <c r="C119" s="362"/>
      <c r="D119" s="362"/>
      <c r="E119" s="362"/>
      <c r="F119" s="365" t="s">
        <v>561</v>
      </c>
      <c r="G119" s="362">
        <f>I119/$B$110</f>
        <v>0.26881720430107525</v>
      </c>
      <c r="H119" s="362" t="s">
        <v>559</v>
      </c>
      <c r="I119" s="371">
        <f>'2. паспорт  ТП'!H23</f>
        <v>0.25</v>
      </c>
      <c r="J119" s="362" t="s">
        <v>126</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x14ac:dyDescent="0.2">
      <c r="A120" s="373"/>
      <c r="B120" s="374"/>
      <c r="C120" s="374"/>
      <c r="D120" s="374"/>
      <c r="E120" s="374"/>
      <c r="F120" s="375" t="s">
        <v>562</v>
      </c>
      <c r="G120" s="372">
        <f>G118</f>
        <v>0.25</v>
      </c>
      <c r="H120" s="362" t="s">
        <v>559</v>
      </c>
      <c r="I120" s="367">
        <f>I118</f>
        <v>0.23250000000000001</v>
      </c>
      <c r="J120" s="362" t="s">
        <v>126</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x14ac:dyDescent="0.2">
      <c r="A121" s="248"/>
      <c r="B121" s="246"/>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x14ac:dyDescent="0.2">
      <c r="A122" s="376" t="s">
        <v>563</v>
      </c>
      <c r="B122" s="377">
        <v>1.9837199999999999</v>
      </c>
      <c r="C122" s="246"/>
      <c r="D122" s="477" t="s">
        <v>340</v>
      </c>
      <c r="E122" s="322" t="s">
        <v>650</v>
      </c>
      <c r="F122" s="323">
        <v>35</v>
      </c>
      <c r="G122" s="478" t="s">
        <v>651</v>
      </c>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c r="AT122" s="246"/>
      <c r="AU122" s="246"/>
      <c r="AV122" s="246"/>
      <c r="AW122" s="246"/>
      <c r="AX122" s="246"/>
      <c r="AY122" s="246"/>
      <c r="AZ122" s="246"/>
      <c r="BA122" s="246"/>
      <c r="BB122" s="246"/>
      <c r="BC122" s="246"/>
      <c r="BD122" s="246"/>
      <c r="BE122" s="246"/>
      <c r="BF122" s="246"/>
      <c r="BG122" s="246"/>
      <c r="BH122" s="246"/>
      <c r="BI122" s="246"/>
      <c r="BJ122" s="246"/>
      <c r="BK122" s="246"/>
      <c r="BL122" s="246"/>
      <c r="BM122" s="246"/>
      <c r="BN122" s="246"/>
      <c r="BO122" s="246"/>
      <c r="BP122" s="246"/>
      <c r="BQ122" s="246"/>
      <c r="BR122" s="246"/>
      <c r="BS122" s="246"/>
    </row>
    <row r="123" spans="1:71" x14ac:dyDescent="0.2">
      <c r="A123" s="376" t="s">
        <v>340</v>
      </c>
      <c r="B123" s="378">
        <v>30</v>
      </c>
      <c r="C123" s="246"/>
      <c r="D123" s="477"/>
      <c r="E123" s="322" t="s">
        <v>646</v>
      </c>
      <c r="F123" s="323">
        <v>30</v>
      </c>
      <c r="G123" s="478"/>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c r="AT123" s="246"/>
      <c r="AU123" s="246"/>
      <c r="AV123" s="246"/>
      <c r="AW123" s="246"/>
      <c r="AX123" s="246"/>
      <c r="AY123" s="246"/>
      <c r="AZ123" s="246"/>
      <c r="BA123" s="246"/>
      <c r="BB123" s="246"/>
      <c r="BC123" s="246"/>
      <c r="BD123" s="246"/>
      <c r="BE123" s="246"/>
      <c r="BF123" s="246"/>
      <c r="BG123" s="246"/>
      <c r="BH123" s="246"/>
      <c r="BI123" s="246"/>
      <c r="BJ123" s="246"/>
      <c r="BK123" s="246"/>
      <c r="BL123" s="246"/>
      <c r="BM123" s="246"/>
      <c r="BN123" s="246"/>
      <c r="BO123" s="246"/>
      <c r="BP123" s="246"/>
      <c r="BQ123" s="246"/>
      <c r="BR123" s="246"/>
      <c r="BS123" s="246"/>
    </row>
    <row r="124" spans="1:71" x14ac:dyDescent="0.2">
      <c r="A124" s="376" t="s">
        <v>564</v>
      </c>
      <c r="B124" s="378" t="s">
        <v>532</v>
      </c>
      <c r="C124" s="249" t="s">
        <v>565</v>
      </c>
      <c r="D124" s="477"/>
      <c r="E124" s="322" t="s">
        <v>652</v>
      </c>
      <c r="F124" s="323">
        <v>30</v>
      </c>
      <c r="G124" s="478"/>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c r="AT124" s="246"/>
      <c r="AU124" s="246"/>
      <c r="AV124" s="246"/>
      <c r="AW124" s="246"/>
      <c r="AX124" s="246"/>
      <c r="AY124" s="246"/>
      <c r="AZ124" s="246"/>
      <c r="BA124" s="246"/>
      <c r="BB124" s="246"/>
      <c r="BC124" s="246"/>
      <c r="BD124" s="246"/>
      <c r="BE124" s="246"/>
      <c r="BF124" s="246"/>
      <c r="BG124" s="246"/>
      <c r="BH124" s="246"/>
      <c r="BI124" s="246"/>
      <c r="BJ124" s="246"/>
      <c r="BK124" s="246"/>
      <c r="BL124" s="246"/>
      <c r="BM124" s="246"/>
      <c r="BN124" s="246"/>
      <c r="BO124" s="246"/>
      <c r="BP124" s="246"/>
      <c r="BQ124" s="246"/>
      <c r="BR124" s="246"/>
      <c r="BS124" s="246"/>
    </row>
    <row r="125" spans="1:71" s="205" customFormat="1" x14ac:dyDescent="0.2">
      <c r="A125" s="324"/>
      <c r="B125" s="325"/>
      <c r="C125" s="250"/>
      <c r="D125" s="477"/>
      <c r="E125" s="322" t="s">
        <v>653</v>
      </c>
      <c r="F125" s="323">
        <v>30</v>
      </c>
      <c r="G125" s="478"/>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c r="BR125" s="251"/>
      <c r="BS125" s="251"/>
    </row>
    <row r="126" spans="1:71" ht="12.75" x14ac:dyDescent="0.2">
      <c r="A126" s="376" t="s">
        <v>566</v>
      </c>
      <c r="B126" s="379">
        <f>$B$122*1000*1000</f>
        <v>1983720</v>
      </c>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c r="AT126" s="246"/>
      <c r="AU126" s="246"/>
      <c r="AV126" s="246"/>
      <c r="AW126" s="246"/>
      <c r="AX126" s="246"/>
      <c r="AY126" s="246"/>
      <c r="AZ126" s="246"/>
      <c r="BA126" s="246"/>
      <c r="BB126" s="246"/>
      <c r="BC126" s="246"/>
      <c r="BD126" s="246"/>
      <c r="BE126" s="246"/>
      <c r="BF126" s="246"/>
      <c r="BG126" s="246"/>
      <c r="BH126" s="246"/>
      <c r="BI126" s="246"/>
      <c r="BJ126" s="246"/>
      <c r="BK126" s="246"/>
      <c r="BL126" s="246"/>
      <c r="BM126" s="246"/>
      <c r="BN126" s="246"/>
      <c r="BO126" s="246"/>
      <c r="BP126" s="246"/>
      <c r="BQ126" s="246"/>
      <c r="BR126" s="246"/>
      <c r="BS126" s="246"/>
    </row>
    <row r="127" spans="1:71" ht="12.75" x14ac:dyDescent="0.2">
      <c r="A127" s="376" t="s">
        <v>567</v>
      </c>
      <c r="B127" s="380">
        <v>0.01</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c r="AT127" s="246"/>
      <c r="AU127" s="246"/>
      <c r="AV127" s="246"/>
      <c r="AW127" s="246"/>
      <c r="AX127" s="246"/>
      <c r="AY127" s="246"/>
      <c r="AZ127" s="246"/>
      <c r="BA127" s="246"/>
      <c r="BB127" s="246"/>
      <c r="BC127" s="246"/>
      <c r="BD127" s="246"/>
      <c r="BE127" s="246"/>
      <c r="BF127" s="246"/>
      <c r="BG127" s="246"/>
      <c r="BH127" s="246"/>
      <c r="BI127" s="246"/>
      <c r="BJ127" s="246"/>
      <c r="BK127" s="246"/>
      <c r="BL127" s="246"/>
      <c r="BM127" s="246"/>
      <c r="BN127" s="246"/>
      <c r="BO127" s="246"/>
      <c r="BP127" s="246"/>
      <c r="BQ127" s="246"/>
      <c r="BR127" s="246"/>
      <c r="BS127" s="246"/>
    </row>
    <row r="128" spans="1:71" ht="12.75" x14ac:dyDescent="0.2">
      <c r="A128" s="248"/>
      <c r="B128" s="252"/>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c r="AT128" s="246"/>
      <c r="AU128" s="246"/>
      <c r="AV128" s="246"/>
      <c r="AW128" s="246"/>
      <c r="AX128" s="246"/>
      <c r="AY128" s="246"/>
      <c r="AZ128" s="246"/>
      <c r="BA128" s="246"/>
      <c r="BB128" s="246"/>
      <c r="BC128" s="246"/>
      <c r="BD128" s="246"/>
      <c r="BE128" s="246"/>
      <c r="BF128" s="246"/>
      <c r="BG128" s="246"/>
      <c r="BH128" s="246"/>
      <c r="BI128" s="246"/>
      <c r="BJ128" s="246"/>
      <c r="BK128" s="246"/>
      <c r="BL128" s="246"/>
      <c r="BM128" s="246"/>
      <c r="BN128" s="246"/>
      <c r="BO128" s="246"/>
      <c r="BP128" s="246"/>
      <c r="BQ128" s="246"/>
      <c r="BR128" s="246"/>
      <c r="BS128" s="246"/>
    </row>
    <row r="129" spans="1:71" ht="12.75" x14ac:dyDescent="0.2">
      <c r="A129" s="376" t="s">
        <v>568</v>
      </c>
      <c r="B129" s="381">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c r="AT129" s="246"/>
      <c r="AU129" s="246"/>
      <c r="AV129" s="246"/>
      <c r="AW129" s="246"/>
      <c r="AX129" s="246"/>
      <c r="AY129" s="246"/>
      <c r="AZ129" s="246"/>
      <c r="BA129" s="246"/>
      <c r="BB129" s="246"/>
      <c r="BC129" s="246"/>
      <c r="BD129" s="246"/>
      <c r="BE129" s="246"/>
      <c r="BF129" s="246"/>
      <c r="BG129" s="246"/>
      <c r="BH129" s="246"/>
      <c r="BI129" s="246"/>
      <c r="BJ129" s="246"/>
      <c r="BK129" s="246"/>
      <c r="BL129" s="246"/>
      <c r="BM129" s="246"/>
      <c r="BN129" s="246"/>
      <c r="BO129" s="246"/>
      <c r="BP129" s="246"/>
      <c r="BQ129" s="246"/>
      <c r="BR129" s="246"/>
      <c r="BS129" s="246"/>
    </row>
    <row r="130" spans="1:71" x14ac:dyDescent="0.2">
      <c r="A130" s="326"/>
      <c r="B130" s="327"/>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c r="AT130" s="246"/>
      <c r="AU130" s="246"/>
      <c r="AV130" s="246"/>
      <c r="AW130" s="246"/>
      <c r="AX130" s="246"/>
      <c r="AY130" s="246"/>
      <c r="AZ130" s="246"/>
      <c r="BA130" s="246"/>
      <c r="BB130" s="246"/>
      <c r="BC130" s="246"/>
      <c r="BD130" s="246"/>
      <c r="BE130" s="246"/>
      <c r="BF130" s="246"/>
      <c r="BG130" s="246"/>
      <c r="BH130" s="246"/>
      <c r="BI130" s="246"/>
      <c r="BJ130" s="246"/>
      <c r="BK130" s="246"/>
      <c r="BL130" s="246"/>
      <c r="BM130" s="246"/>
      <c r="BN130" s="246"/>
      <c r="BO130" s="246"/>
      <c r="BP130" s="246"/>
      <c r="BQ130" s="246"/>
      <c r="BR130" s="246"/>
      <c r="BS130" s="246"/>
    </row>
    <row r="131" spans="1:71" ht="12.75" x14ac:dyDescent="0.2">
      <c r="A131" s="382" t="s">
        <v>654</v>
      </c>
      <c r="B131" s="383">
        <v>1.4332</v>
      </c>
      <c r="C131" s="251"/>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c r="AT131" s="246"/>
      <c r="AU131" s="246"/>
      <c r="AV131" s="246"/>
      <c r="AW131" s="246"/>
      <c r="AX131" s="246"/>
      <c r="AY131" s="246"/>
      <c r="AZ131" s="246"/>
      <c r="BA131" s="246"/>
      <c r="BB131" s="246"/>
      <c r="BC131" s="246"/>
      <c r="BD131" s="246"/>
      <c r="BE131" s="246"/>
      <c r="BF131" s="246"/>
      <c r="BG131" s="246"/>
      <c r="BH131" s="246"/>
      <c r="BI131" s="246"/>
      <c r="BJ131" s="246"/>
      <c r="BK131" s="246"/>
      <c r="BL131" s="246"/>
      <c r="BM131" s="246"/>
      <c r="BN131" s="246"/>
      <c r="BO131" s="246"/>
      <c r="BP131" s="246"/>
      <c r="BQ131" s="246"/>
      <c r="BR131" s="246"/>
      <c r="BS131" s="246"/>
    </row>
    <row r="132" spans="1:7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c r="AT132" s="246"/>
      <c r="AU132" s="246"/>
      <c r="AV132" s="246"/>
      <c r="AW132" s="246"/>
      <c r="AX132" s="246"/>
      <c r="AY132" s="246"/>
      <c r="AZ132" s="246"/>
      <c r="BA132" s="246"/>
      <c r="BB132" s="246"/>
      <c r="BC132" s="246"/>
      <c r="BD132" s="246"/>
      <c r="BE132" s="246"/>
      <c r="BF132" s="246"/>
      <c r="BG132" s="246"/>
      <c r="BH132" s="246"/>
      <c r="BI132" s="246"/>
      <c r="BJ132" s="246"/>
      <c r="BK132" s="246"/>
      <c r="BL132" s="246"/>
      <c r="BM132" s="246"/>
      <c r="BN132" s="246"/>
      <c r="BO132" s="246"/>
      <c r="BP132" s="246"/>
      <c r="BQ132" s="246"/>
      <c r="BR132" s="246"/>
      <c r="BS132" s="246"/>
    </row>
    <row r="133" spans="1:71" ht="12.75" x14ac:dyDescent="0.2">
      <c r="A133" s="24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05"/>
      <c r="AR133" s="205"/>
      <c r="AS133" s="205"/>
      <c r="BH133" s="246"/>
      <c r="BI133" s="246"/>
      <c r="BJ133" s="246"/>
      <c r="BK133" s="246"/>
      <c r="BL133" s="246"/>
      <c r="BM133" s="246"/>
      <c r="BN133" s="246"/>
      <c r="BO133" s="246"/>
      <c r="BP133" s="246"/>
      <c r="BQ133" s="246"/>
      <c r="BR133" s="246"/>
      <c r="BS133" s="246"/>
    </row>
    <row r="134" spans="1:71" x14ac:dyDescent="0.2">
      <c r="A134" s="376" t="s">
        <v>569</v>
      </c>
      <c r="C134" s="251" t="s">
        <v>655</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05"/>
      <c r="AR134" s="205"/>
      <c r="AS134" s="205"/>
      <c r="BH134" s="251"/>
      <c r="BI134" s="251"/>
      <c r="BJ134" s="251"/>
      <c r="BK134" s="251"/>
      <c r="BL134" s="251"/>
      <c r="BM134" s="251"/>
      <c r="BN134" s="251"/>
      <c r="BO134" s="251"/>
      <c r="BP134" s="251"/>
      <c r="BQ134" s="251"/>
      <c r="BR134" s="251"/>
      <c r="BS134" s="251"/>
    </row>
    <row r="135" spans="1:71" ht="12.75" x14ac:dyDescent="0.2">
      <c r="A135" s="37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76" t="s">
        <v>570</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205" customFormat="1" ht="15" x14ac:dyDescent="0.2">
      <c r="A137" s="376" t="s">
        <v>571</v>
      </c>
      <c r="B137" s="328"/>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205" customFormat="1" x14ac:dyDescent="0.2">
      <c r="A138" s="253"/>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1"/>
    </row>
    <row r="139" spans="1:71" ht="12.75" x14ac:dyDescent="0.2">
      <c r="A139" s="248"/>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246"/>
      <c r="BA139" s="246"/>
      <c r="BB139" s="246"/>
      <c r="BC139" s="246"/>
      <c r="BD139" s="246"/>
      <c r="BE139" s="246"/>
      <c r="BF139" s="246"/>
      <c r="BG139" s="246"/>
      <c r="BH139" s="246"/>
      <c r="BI139" s="246"/>
      <c r="BJ139" s="246"/>
      <c r="BK139" s="246"/>
      <c r="BL139" s="246"/>
      <c r="BM139" s="246"/>
      <c r="BN139" s="246"/>
      <c r="BO139" s="246"/>
      <c r="BP139" s="246"/>
      <c r="BQ139" s="246"/>
      <c r="BR139" s="246"/>
      <c r="BS139" s="246"/>
    </row>
    <row r="140" spans="1:71" x14ac:dyDescent="0.2">
      <c r="A140" s="248"/>
      <c r="B140" s="388">
        <v>0</v>
      </c>
      <c r="C140" s="388">
        <v>0</v>
      </c>
      <c r="D140" s="388">
        <v>1</v>
      </c>
      <c r="E140" s="388">
        <f>D140+1</f>
        <v>2</v>
      </c>
      <c r="F140" s="388">
        <f t="shared" si="43"/>
        <v>3</v>
      </c>
      <c r="G140" s="388">
        <f t="shared" si="43"/>
        <v>4</v>
      </c>
      <c r="H140" s="388">
        <f t="shared" si="43"/>
        <v>5</v>
      </c>
      <c r="I140" s="388">
        <f t="shared" si="43"/>
        <v>6</v>
      </c>
      <c r="J140" s="388">
        <f t="shared" si="43"/>
        <v>7</v>
      </c>
      <c r="K140" s="388">
        <f t="shared" si="43"/>
        <v>8</v>
      </c>
      <c r="L140" s="388">
        <f t="shared" si="43"/>
        <v>9</v>
      </c>
      <c r="M140" s="388">
        <f t="shared" si="43"/>
        <v>10</v>
      </c>
      <c r="N140" s="388">
        <f t="shared" si="43"/>
        <v>11</v>
      </c>
      <c r="O140" s="388">
        <f t="shared" si="43"/>
        <v>12</v>
      </c>
      <c r="P140" s="388">
        <f t="shared" si="43"/>
        <v>13</v>
      </c>
      <c r="Q140" s="388">
        <f t="shared" si="43"/>
        <v>14</v>
      </c>
      <c r="R140" s="388">
        <f t="shared" si="43"/>
        <v>15</v>
      </c>
      <c r="S140" s="388">
        <f t="shared" si="43"/>
        <v>16</v>
      </c>
      <c r="T140" s="388">
        <f t="shared" si="44"/>
        <v>17</v>
      </c>
      <c r="U140" s="388">
        <f t="shared" si="44"/>
        <v>18</v>
      </c>
      <c r="V140" s="388">
        <f t="shared" si="44"/>
        <v>19</v>
      </c>
      <c r="W140" s="388">
        <f t="shared" si="44"/>
        <v>20</v>
      </c>
      <c r="X140" s="388">
        <f t="shared" si="44"/>
        <v>21</v>
      </c>
      <c r="Y140" s="388">
        <f t="shared" si="44"/>
        <v>22</v>
      </c>
      <c r="Z140" s="388">
        <f t="shared" si="44"/>
        <v>23</v>
      </c>
      <c r="AA140" s="388">
        <f t="shared" si="44"/>
        <v>24</v>
      </c>
      <c r="AB140" s="388">
        <f t="shared" si="44"/>
        <v>25</v>
      </c>
      <c r="AC140" s="388">
        <f t="shared" si="44"/>
        <v>26</v>
      </c>
      <c r="AD140" s="388">
        <f t="shared" si="44"/>
        <v>27</v>
      </c>
      <c r="AE140" s="388">
        <f t="shared" si="44"/>
        <v>28</v>
      </c>
      <c r="AF140" s="388">
        <f t="shared" si="44"/>
        <v>29</v>
      </c>
      <c r="AG140" s="388">
        <f t="shared" si="44"/>
        <v>30</v>
      </c>
      <c r="AH140" s="388">
        <f t="shared" si="44"/>
        <v>31</v>
      </c>
      <c r="AI140" s="388">
        <f t="shared" si="44"/>
        <v>32</v>
      </c>
      <c r="AJ140" s="388">
        <f t="shared" si="45"/>
        <v>33</v>
      </c>
      <c r="AK140" s="388">
        <f t="shared" si="45"/>
        <v>34</v>
      </c>
      <c r="AL140" s="388">
        <f t="shared" si="45"/>
        <v>35</v>
      </c>
      <c r="AM140" s="388">
        <f t="shared" si="45"/>
        <v>36</v>
      </c>
      <c r="AN140" s="388">
        <f t="shared" si="45"/>
        <v>37</v>
      </c>
      <c r="AO140" s="388">
        <f t="shared" si="45"/>
        <v>38</v>
      </c>
      <c r="AP140" s="388">
        <f>AO140+1</f>
        <v>39</v>
      </c>
      <c r="AQ140" s="388">
        <f t="shared" si="45"/>
        <v>40</v>
      </c>
      <c r="AR140" s="388">
        <f t="shared" si="45"/>
        <v>41</v>
      </c>
      <c r="AS140" s="388">
        <f t="shared" si="45"/>
        <v>42</v>
      </c>
      <c r="AT140" s="388">
        <f t="shared" si="45"/>
        <v>43</v>
      </c>
      <c r="AU140" s="388">
        <f t="shared" si="45"/>
        <v>44</v>
      </c>
      <c r="AV140" s="388">
        <f t="shared" si="45"/>
        <v>45</v>
      </c>
      <c r="AW140" s="388">
        <f t="shared" si="45"/>
        <v>46</v>
      </c>
      <c r="AX140" s="388">
        <f t="shared" si="45"/>
        <v>47</v>
      </c>
      <c r="AY140" s="388">
        <f t="shared" si="45"/>
        <v>48</v>
      </c>
      <c r="AZ140" s="246"/>
      <c r="BA140" s="246"/>
      <c r="BB140" s="246"/>
      <c r="BC140" s="246"/>
      <c r="BD140" s="246"/>
      <c r="BE140" s="246"/>
      <c r="BF140" s="246"/>
      <c r="BG140" s="246"/>
      <c r="BH140" s="246"/>
      <c r="BI140" s="246"/>
      <c r="BJ140" s="246"/>
      <c r="BK140" s="246"/>
      <c r="BL140" s="246"/>
      <c r="BM140" s="246"/>
      <c r="BN140" s="246"/>
      <c r="BO140" s="246"/>
      <c r="BP140" s="246"/>
      <c r="BQ140" s="246"/>
      <c r="BR140" s="246"/>
      <c r="BS140" s="246"/>
    </row>
    <row r="141" spans="1:71" ht="15" x14ac:dyDescent="0.2">
      <c r="A141" s="248"/>
      <c r="B141" s="389">
        <f>AVERAGE(A140:B140)</f>
        <v>0</v>
      </c>
      <c r="C141" s="389">
        <f>AVERAGE(B140:C140)</f>
        <v>0</v>
      </c>
      <c r="D141" s="389">
        <f>AVERAGE(C140:D140)</f>
        <v>0.5</v>
      </c>
      <c r="E141" s="389">
        <f>AVERAGE(D140:E140)</f>
        <v>1.5</v>
      </c>
      <c r="F141" s="389">
        <f t="shared" ref="F141:AO141" si="46">AVERAGE(E140:F140)</f>
        <v>2.5</v>
      </c>
      <c r="G141" s="389">
        <f t="shared" si="46"/>
        <v>3.5</v>
      </c>
      <c r="H141" s="389">
        <f t="shared" si="46"/>
        <v>4.5</v>
      </c>
      <c r="I141" s="389">
        <f t="shared" si="46"/>
        <v>5.5</v>
      </c>
      <c r="J141" s="389">
        <f t="shared" si="46"/>
        <v>6.5</v>
      </c>
      <c r="K141" s="389">
        <f t="shared" si="46"/>
        <v>7.5</v>
      </c>
      <c r="L141" s="389">
        <f t="shared" si="46"/>
        <v>8.5</v>
      </c>
      <c r="M141" s="389">
        <f t="shared" si="46"/>
        <v>9.5</v>
      </c>
      <c r="N141" s="389">
        <f t="shared" si="46"/>
        <v>10.5</v>
      </c>
      <c r="O141" s="389">
        <f t="shared" si="46"/>
        <v>11.5</v>
      </c>
      <c r="P141" s="389">
        <f t="shared" si="46"/>
        <v>12.5</v>
      </c>
      <c r="Q141" s="389">
        <f t="shared" si="46"/>
        <v>13.5</v>
      </c>
      <c r="R141" s="389">
        <f t="shared" si="46"/>
        <v>14.5</v>
      </c>
      <c r="S141" s="389">
        <f t="shared" si="46"/>
        <v>15.5</v>
      </c>
      <c r="T141" s="389">
        <f t="shared" si="46"/>
        <v>16.5</v>
      </c>
      <c r="U141" s="389">
        <f t="shared" si="46"/>
        <v>17.5</v>
      </c>
      <c r="V141" s="389">
        <f t="shared" si="46"/>
        <v>18.5</v>
      </c>
      <c r="W141" s="389">
        <f t="shared" si="46"/>
        <v>19.5</v>
      </c>
      <c r="X141" s="389">
        <f t="shared" si="46"/>
        <v>20.5</v>
      </c>
      <c r="Y141" s="389">
        <f t="shared" si="46"/>
        <v>21.5</v>
      </c>
      <c r="Z141" s="389">
        <f t="shared" si="46"/>
        <v>22.5</v>
      </c>
      <c r="AA141" s="389">
        <f t="shared" si="46"/>
        <v>23.5</v>
      </c>
      <c r="AB141" s="389">
        <f t="shared" si="46"/>
        <v>24.5</v>
      </c>
      <c r="AC141" s="389">
        <f t="shared" si="46"/>
        <v>25.5</v>
      </c>
      <c r="AD141" s="389">
        <f t="shared" si="46"/>
        <v>26.5</v>
      </c>
      <c r="AE141" s="389">
        <f t="shared" si="46"/>
        <v>27.5</v>
      </c>
      <c r="AF141" s="389">
        <f t="shared" si="46"/>
        <v>28.5</v>
      </c>
      <c r="AG141" s="389">
        <f t="shared" si="46"/>
        <v>29.5</v>
      </c>
      <c r="AH141" s="389">
        <f t="shared" si="46"/>
        <v>30.5</v>
      </c>
      <c r="AI141" s="389">
        <f t="shared" si="46"/>
        <v>31.5</v>
      </c>
      <c r="AJ141" s="389">
        <f t="shared" si="46"/>
        <v>32.5</v>
      </c>
      <c r="AK141" s="389">
        <f t="shared" si="46"/>
        <v>33.5</v>
      </c>
      <c r="AL141" s="389">
        <f t="shared" si="46"/>
        <v>34.5</v>
      </c>
      <c r="AM141" s="389">
        <f t="shared" si="46"/>
        <v>35.5</v>
      </c>
      <c r="AN141" s="389">
        <f t="shared" si="46"/>
        <v>36.5</v>
      </c>
      <c r="AO141" s="389">
        <f t="shared" si="46"/>
        <v>37.5</v>
      </c>
      <c r="AP141" s="389">
        <f>AVERAGE(AO140:AP140)</f>
        <v>38.5</v>
      </c>
      <c r="AQ141" s="389">
        <f t="shared" ref="AQ141:AY141" si="47">AVERAGE(AP140:AQ140)</f>
        <v>39.5</v>
      </c>
      <c r="AR141" s="389">
        <f t="shared" si="47"/>
        <v>40.5</v>
      </c>
      <c r="AS141" s="389">
        <f t="shared" si="47"/>
        <v>41.5</v>
      </c>
      <c r="AT141" s="389">
        <f t="shared" si="47"/>
        <v>42.5</v>
      </c>
      <c r="AU141" s="389">
        <f t="shared" si="47"/>
        <v>43.5</v>
      </c>
      <c r="AV141" s="389">
        <f t="shared" si="47"/>
        <v>44.5</v>
      </c>
      <c r="AW141" s="389">
        <f t="shared" si="47"/>
        <v>45.5</v>
      </c>
      <c r="AX141" s="389">
        <f t="shared" si="47"/>
        <v>46.5</v>
      </c>
      <c r="AY141" s="389">
        <f t="shared" si="47"/>
        <v>47.5</v>
      </c>
      <c r="AZ141" s="246"/>
      <c r="BA141" s="246"/>
      <c r="BB141" s="246"/>
      <c r="BC141" s="246"/>
      <c r="BD141" s="246"/>
      <c r="BE141" s="246"/>
      <c r="BF141" s="246"/>
      <c r="BG141" s="246"/>
      <c r="BH141" s="246"/>
      <c r="BI141" s="246"/>
      <c r="BJ141" s="246"/>
      <c r="BK141" s="246"/>
      <c r="BL141" s="246"/>
      <c r="BM141" s="246"/>
      <c r="BN141" s="246"/>
      <c r="BO141" s="246"/>
      <c r="BP141" s="246"/>
      <c r="BQ141" s="246"/>
      <c r="BR141" s="246"/>
      <c r="BS141" s="246"/>
    </row>
    <row r="142" spans="1:71" ht="12.75" x14ac:dyDescent="0.2">
      <c r="A142" s="24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c r="AT142" s="246"/>
      <c r="AU142" s="246"/>
      <c r="AV142" s="246"/>
      <c r="AW142" s="246"/>
      <c r="AX142" s="246"/>
      <c r="AY142" s="246"/>
      <c r="AZ142" s="246"/>
      <c r="BA142" s="246"/>
      <c r="BB142" s="246"/>
      <c r="BC142" s="246"/>
      <c r="BD142" s="246"/>
      <c r="BE142" s="246"/>
      <c r="BF142" s="246"/>
      <c r="BG142" s="246"/>
      <c r="BH142" s="246"/>
      <c r="BI142" s="246"/>
      <c r="BJ142" s="246"/>
      <c r="BK142" s="246"/>
      <c r="BL142" s="246"/>
      <c r="BM142" s="246"/>
      <c r="BN142" s="246"/>
      <c r="BO142" s="246"/>
      <c r="BP142" s="246"/>
      <c r="BQ142" s="246"/>
      <c r="BR142" s="246"/>
      <c r="BS142" s="246"/>
    </row>
    <row r="143" spans="1:71" ht="12.75" x14ac:dyDescent="0.2">
      <c r="A143" s="24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c r="AT143" s="246"/>
      <c r="AU143" s="246"/>
      <c r="AV143" s="246"/>
      <c r="AW143" s="246"/>
      <c r="AX143" s="246"/>
      <c r="AY143" s="246"/>
      <c r="AZ143" s="246"/>
      <c r="BA143" s="246"/>
      <c r="BB143" s="246"/>
      <c r="BC143" s="246"/>
      <c r="BD143" s="246"/>
      <c r="BE143" s="246"/>
      <c r="BF143" s="246"/>
      <c r="BG143" s="246"/>
      <c r="BH143" s="246"/>
      <c r="BI143" s="246"/>
      <c r="BJ143" s="246"/>
      <c r="BK143" s="246"/>
      <c r="BL143" s="246"/>
      <c r="BM143" s="246"/>
      <c r="BN143" s="246"/>
      <c r="BO143" s="246"/>
      <c r="BP143" s="246"/>
      <c r="BQ143" s="246"/>
      <c r="BR143" s="246"/>
      <c r="BS143" s="246"/>
    </row>
    <row r="144" spans="1:71" ht="12.75" x14ac:dyDescent="0.2">
      <c r="A144" s="24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c r="AT144" s="246"/>
      <c r="AU144" s="246"/>
      <c r="AV144" s="246"/>
      <c r="AW144" s="246"/>
      <c r="AX144" s="246"/>
      <c r="AY144" s="246"/>
      <c r="AZ144" s="246"/>
      <c r="BA144" s="246"/>
      <c r="BB144" s="246"/>
      <c r="BC144" s="246"/>
      <c r="BD144" s="246"/>
      <c r="BE144" s="246"/>
      <c r="BF144" s="246"/>
      <c r="BG144" s="246"/>
      <c r="BH144" s="246"/>
      <c r="BI144" s="246"/>
      <c r="BJ144" s="246"/>
      <c r="BK144" s="246"/>
      <c r="BL144" s="246"/>
      <c r="BM144" s="246"/>
      <c r="BN144" s="246"/>
      <c r="BO144" s="246"/>
      <c r="BP144" s="246"/>
      <c r="BQ144" s="246"/>
      <c r="BR144" s="246"/>
      <c r="BS144" s="246"/>
    </row>
    <row r="145" spans="1:71" ht="12.75" x14ac:dyDescent="0.2">
      <c r="A145" s="24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c r="AT145" s="246"/>
      <c r="AU145" s="246"/>
      <c r="AV145" s="246"/>
      <c r="AW145" s="246"/>
      <c r="AX145" s="246"/>
      <c r="AY145" s="246"/>
      <c r="AZ145" s="246"/>
      <c r="BA145" s="246"/>
      <c r="BB145" s="246"/>
      <c r="BC145" s="246"/>
      <c r="BD145" s="246"/>
      <c r="BE145" s="246"/>
      <c r="BF145" s="246"/>
      <c r="BG145" s="246"/>
      <c r="BH145" s="246"/>
      <c r="BI145" s="246"/>
      <c r="BJ145" s="246"/>
      <c r="BK145" s="246"/>
      <c r="BL145" s="246"/>
      <c r="BM145" s="246"/>
      <c r="BN145" s="246"/>
      <c r="BO145" s="246"/>
      <c r="BP145" s="246"/>
      <c r="BQ145" s="246"/>
      <c r="BR145" s="246"/>
      <c r="BS145" s="246"/>
    </row>
    <row r="146" spans="1:71" ht="12.75" x14ac:dyDescent="0.2">
      <c r="A146" s="24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c r="AT146" s="246"/>
      <c r="AU146" s="246"/>
      <c r="AV146" s="246"/>
      <c r="AW146" s="246"/>
      <c r="AX146" s="246"/>
      <c r="AY146" s="246"/>
      <c r="AZ146" s="246"/>
      <c r="BA146" s="246"/>
      <c r="BB146" s="246"/>
      <c r="BC146" s="246"/>
      <c r="BD146" s="246"/>
      <c r="BE146" s="246"/>
      <c r="BF146" s="246"/>
      <c r="BG146" s="246"/>
      <c r="BH146" s="246"/>
      <c r="BI146" s="246"/>
      <c r="BJ146" s="246"/>
      <c r="BK146" s="246"/>
      <c r="BL146" s="246"/>
      <c r="BM146" s="246"/>
      <c r="BN146" s="246"/>
      <c r="BO146" s="246"/>
      <c r="BP146" s="246"/>
      <c r="BQ146" s="246"/>
      <c r="BR146" s="246"/>
      <c r="BS146" s="246"/>
    </row>
    <row r="147" spans="1:71" ht="12.75" x14ac:dyDescent="0.2">
      <c r="A147" s="24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c r="AT147" s="246"/>
      <c r="AU147" s="246"/>
      <c r="AV147" s="246"/>
      <c r="AW147" s="246"/>
      <c r="AX147" s="246"/>
      <c r="AY147" s="246"/>
      <c r="AZ147" s="246"/>
      <c r="BA147" s="246"/>
      <c r="BB147" s="246"/>
      <c r="BC147" s="246"/>
      <c r="BD147" s="246"/>
      <c r="BE147" s="246"/>
      <c r="BF147" s="246"/>
      <c r="BG147" s="246"/>
      <c r="BH147" s="246"/>
      <c r="BI147" s="246"/>
      <c r="BJ147" s="246"/>
      <c r="BK147" s="246"/>
      <c r="BL147" s="246"/>
      <c r="BM147" s="246"/>
      <c r="BN147" s="246"/>
      <c r="BO147" s="246"/>
      <c r="BP147" s="246"/>
      <c r="BQ147" s="246"/>
      <c r="BR147" s="246"/>
      <c r="BS147" s="246"/>
    </row>
    <row r="148" spans="1:71" ht="12.75" x14ac:dyDescent="0.2">
      <c r="A148" s="24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6"/>
      <c r="BH148" s="246"/>
      <c r="BI148" s="246"/>
      <c r="BJ148" s="246"/>
      <c r="BK148" s="246"/>
      <c r="BL148" s="246"/>
      <c r="BM148" s="246"/>
      <c r="BN148" s="246"/>
      <c r="BO148" s="246"/>
      <c r="BP148" s="246"/>
      <c r="BQ148" s="246"/>
      <c r="BR148" s="246"/>
      <c r="BS148" s="246"/>
    </row>
    <row r="149" spans="1:71" ht="12.75" x14ac:dyDescent="0.2">
      <c r="A149" s="24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c r="AT149" s="246"/>
      <c r="AU149" s="246"/>
      <c r="AV149" s="246"/>
      <c r="AW149" s="246"/>
      <c r="AX149" s="246"/>
      <c r="AY149" s="246"/>
      <c r="AZ149" s="246"/>
      <c r="BA149" s="246"/>
      <c r="BB149" s="246"/>
      <c r="BC149" s="246"/>
      <c r="BD149" s="246"/>
      <c r="BE149" s="246"/>
      <c r="BF149" s="246"/>
      <c r="BG149" s="246"/>
      <c r="BH149" s="246"/>
      <c r="BI149" s="246"/>
      <c r="BJ149" s="246"/>
      <c r="BK149" s="246"/>
      <c r="BL149" s="246"/>
      <c r="BM149" s="246"/>
      <c r="BN149" s="246"/>
      <c r="BO149" s="246"/>
      <c r="BP149" s="246"/>
      <c r="BQ149" s="246"/>
      <c r="BR149" s="246"/>
      <c r="BS149" s="246"/>
    </row>
    <row r="150" spans="1:71" ht="12.75" x14ac:dyDescent="0.2">
      <c r="A150" s="24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c r="AT150" s="246"/>
      <c r="AU150" s="246"/>
      <c r="AV150" s="246"/>
      <c r="AW150" s="246"/>
      <c r="AX150" s="246"/>
      <c r="AY150" s="246"/>
      <c r="AZ150" s="246"/>
      <c r="BA150" s="246"/>
      <c r="BB150" s="246"/>
      <c r="BC150" s="246"/>
      <c r="BD150" s="246"/>
      <c r="BE150" s="246"/>
      <c r="BF150" s="246"/>
      <c r="BG150" s="246"/>
      <c r="BH150" s="246"/>
      <c r="BI150" s="246"/>
      <c r="BJ150" s="246"/>
      <c r="BK150" s="246"/>
      <c r="BL150" s="246"/>
      <c r="BM150" s="246"/>
      <c r="BN150" s="246"/>
      <c r="BO150" s="246"/>
      <c r="BP150" s="246"/>
      <c r="BQ150" s="246"/>
      <c r="BR150" s="246"/>
      <c r="BS150" s="246"/>
    </row>
    <row r="151" spans="1:71" ht="12.75" x14ac:dyDescent="0.2">
      <c r="A151" s="24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c r="AT151" s="246"/>
      <c r="AU151" s="246"/>
      <c r="AV151" s="246"/>
      <c r="AW151" s="246"/>
      <c r="AX151" s="246"/>
      <c r="AY151" s="246"/>
      <c r="AZ151" s="246"/>
      <c r="BA151" s="246"/>
      <c r="BB151" s="246"/>
      <c r="BC151" s="246"/>
      <c r="BD151" s="246"/>
      <c r="BE151" s="246"/>
      <c r="BF151" s="246"/>
      <c r="BG151" s="246"/>
      <c r="BH151" s="246"/>
      <c r="BI151" s="246"/>
      <c r="BJ151" s="246"/>
      <c r="BK151" s="246"/>
      <c r="BL151" s="246"/>
      <c r="BM151" s="246"/>
      <c r="BN151" s="246"/>
      <c r="BO151" s="246"/>
      <c r="BP151" s="246"/>
      <c r="BQ151" s="246"/>
      <c r="BR151" s="246"/>
      <c r="BS151" s="246"/>
    </row>
    <row r="152" spans="1:71" ht="12.75" x14ac:dyDescent="0.2">
      <c r="A152" s="24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c r="AT152" s="246"/>
      <c r="AU152" s="246"/>
      <c r="AV152" s="246"/>
      <c r="AW152" s="246"/>
      <c r="AX152" s="246"/>
      <c r="AY152" s="246"/>
      <c r="AZ152" s="246"/>
      <c r="BA152" s="246"/>
      <c r="BB152" s="246"/>
      <c r="BC152" s="246"/>
      <c r="BD152" s="246"/>
      <c r="BE152" s="246"/>
      <c r="BF152" s="246"/>
      <c r="BG152" s="246"/>
      <c r="BH152" s="246"/>
      <c r="BI152" s="246"/>
      <c r="BJ152" s="246"/>
      <c r="BK152" s="246"/>
      <c r="BL152" s="246"/>
      <c r="BM152" s="246"/>
      <c r="BN152" s="246"/>
      <c r="BO152" s="246"/>
      <c r="BP152" s="246"/>
      <c r="BQ152" s="246"/>
      <c r="BR152" s="246"/>
      <c r="BS152" s="246"/>
    </row>
    <row r="153" spans="1:71" ht="12.75" x14ac:dyDescent="0.2">
      <c r="A153" s="24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c r="AT153" s="246"/>
      <c r="AU153" s="246"/>
      <c r="AV153" s="246"/>
      <c r="AW153" s="246"/>
      <c r="AX153" s="246"/>
      <c r="AY153" s="246"/>
      <c r="AZ153" s="246"/>
      <c r="BA153" s="246"/>
      <c r="BB153" s="246"/>
      <c r="BC153" s="246"/>
      <c r="BD153" s="246"/>
      <c r="BE153" s="246"/>
      <c r="BF153" s="246"/>
      <c r="BG153" s="246"/>
      <c r="BH153" s="246"/>
      <c r="BI153" s="246"/>
      <c r="BJ153" s="246"/>
      <c r="BK153" s="246"/>
      <c r="BL153" s="246"/>
      <c r="BM153" s="246"/>
      <c r="BN153" s="246"/>
      <c r="BO153" s="246"/>
      <c r="BP153" s="246"/>
      <c r="BQ153" s="246"/>
      <c r="BR153" s="246"/>
      <c r="BS153" s="246"/>
    </row>
    <row r="154" spans="1:71" ht="12.75" x14ac:dyDescent="0.2">
      <c r="A154" s="24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c r="AT154" s="246"/>
      <c r="AU154" s="246"/>
      <c r="AV154" s="246"/>
      <c r="AW154" s="246"/>
      <c r="AX154" s="246"/>
      <c r="AY154" s="246"/>
      <c r="AZ154" s="246"/>
      <c r="BA154" s="246"/>
      <c r="BB154" s="246"/>
      <c r="BC154" s="246"/>
      <c r="BD154" s="246"/>
      <c r="BE154" s="246"/>
      <c r="BF154" s="246"/>
      <c r="BG154" s="246"/>
      <c r="BH154" s="246"/>
      <c r="BI154" s="246"/>
      <c r="BJ154" s="246"/>
      <c r="BK154" s="246"/>
      <c r="BL154" s="246"/>
      <c r="BM154" s="246"/>
      <c r="BN154" s="246"/>
      <c r="BO154" s="246"/>
      <c r="BP154" s="246"/>
      <c r="BQ154" s="246"/>
      <c r="BR154" s="246"/>
      <c r="BS154" s="246"/>
    </row>
    <row r="155" spans="1:71" ht="12.75" x14ac:dyDescent="0.2">
      <c r="A155" s="24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c r="AT155" s="246"/>
      <c r="AU155" s="246"/>
      <c r="AV155" s="246"/>
      <c r="AW155" s="246"/>
      <c r="AX155" s="246"/>
      <c r="AY155" s="246"/>
      <c r="AZ155" s="246"/>
      <c r="BA155" s="246"/>
      <c r="BB155" s="246"/>
      <c r="BC155" s="246"/>
      <c r="BD155" s="246"/>
      <c r="BE155" s="246"/>
      <c r="BF155" s="246"/>
      <c r="BG155" s="246"/>
      <c r="BH155" s="246"/>
      <c r="BI155" s="246"/>
      <c r="BJ155" s="246"/>
      <c r="BK155" s="246"/>
      <c r="BL155" s="246"/>
      <c r="BM155" s="246"/>
      <c r="BN155" s="246"/>
      <c r="BO155" s="246"/>
      <c r="BP155" s="246"/>
      <c r="BQ155" s="246"/>
      <c r="BR155" s="246"/>
      <c r="BS155" s="246"/>
    </row>
    <row r="156" spans="1:71" ht="12.75" x14ac:dyDescent="0.2">
      <c r="A156" s="247"/>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47"/>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47"/>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47"/>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47"/>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47"/>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47"/>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47"/>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47"/>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47"/>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47"/>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47"/>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47"/>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47"/>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47"/>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47"/>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47"/>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47"/>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47"/>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47"/>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47"/>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47"/>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47"/>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47"/>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47"/>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47"/>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47"/>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47"/>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47"/>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47"/>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47"/>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47"/>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47"/>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47"/>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47"/>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47"/>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47"/>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47"/>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47"/>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47"/>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47"/>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47"/>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47"/>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47"/>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47"/>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47"/>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47"/>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47"/>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47"/>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47"/>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47"/>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47"/>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47"/>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60" workbookViewId="0">
      <selection activeCell="J44" sqref="J44"/>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2022 год</v>
      </c>
      <c r="B5" s="415"/>
      <c r="C5" s="415"/>
      <c r="D5" s="415"/>
      <c r="E5" s="415"/>
      <c r="F5" s="415"/>
      <c r="G5" s="415"/>
      <c r="H5" s="415"/>
      <c r="I5" s="415"/>
      <c r="J5" s="415"/>
      <c r="K5" s="415"/>
      <c r="L5" s="41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row>
    <row r="10" spans="1:44" x14ac:dyDescent="0.25">
      <c r="A10" s="425" t="s">
        <v>6</v>
      </c>
      <c r="B10" s="425"/>
      <c r="C10" s="425"/>
      <c r="D10" s="425"/>
      <c r="E10" s="425"/>
      <c r="F10" s="425"/>
      <c r="G10" s="425"/>
      <c r="H10" s="425"/>
      <c r="I10" s="425"/>
      <c r="J10" s="425"/>
      <c r="K10" s="425"/>
      <c r="L10" s="425"/>
    </row>
    <row r="11" spans="1:44" ht="18.75" x14ac:dyDescent="0.25">
      <c r="A11" s="429"/>
      <c r="B11" s="429"/>
      <c r="C11" s="429"/>
      <c r="D11" s="429"/>
      <c r="E11" s="429"/>
      <c r="F11" s="429"/>
      <c r="G11" s="429"/>
      <c r="H11" s="429"/>
      <c r="I11" s="429"/>
      <c r="J11" s="429"/>
      <c r="K11" s="429"/>
      <c r="L11" s="429"/>
    </row>
    <row r="12" spans="1:44" x14ac:dyDescent="0.25">
      <c r="A12" s="423" t="str">
        <f>'1. паспорт местоположение'!A12:C12</f>
        <v>I_17-1850</v>
      </c>
      <c r="B12" s="423"/>
      <c r="C12" s="423"/>
      <c r="D12" s="423"/>
      <c r="E12" s="423"/>
      <c r="F12" s="423"/>
      <c r="G12" s="423"/>
      <c r="H12" s="423"/>
      <c r="I12" s="423"/>
      <c r="J12" s="423"/>
      <c r="K12" s="423"/>
      <c r="L12" s="423"/>
    </row>
    <row r="13" spans="1:44" x14ac:dyDescent="0.25">
      <c r="A13" s="425" t="s">
        <v>5</v>
      </c>
      <c r="B13" s="425"/>
      <c r="C13" s="425"/>
      <c r="D13" s="425"/>
      <c r="E13" s="425"/>
      <c r="F13" s="425"/>
      <c r="G13" s="425"/>
      <c r="H13" s="425"/>
      <c r="I13" s="425"/>
      <c r="J13" s="425"/>
      <c r="K13" s="425"/>
      <c r="L13" s="425"/>
    </row>
    <row r="14" spans="1:44" ht="18.75" x14ac:dyDescent="0.25">
      <c r="A14" s="430"/>
      <c r="B14" s="430"/>
      <c r="C14" s="430"/>
      <c r="D14" s="430"/>
      <c r="E14" s="430"/>
      <c r="F14" s="430"/>
      <c r="G14" s="430"/>
      <c r="H14" s="430"/>
      <c r="I14" s="430"/>
      <c r="J14" s="430"/>
      <c r="K14" s="430"/>
      <c r="L14" s="430"/>
    </row>
    <row r="15" spans="1:44" x14ac:dyDescent="0.25">
      <c r="A15" s="423" t="str">
        <f>'1. паспорт местоположение'!A15</f>
        <v>Строительство ТП 15/0,4 кВ, ЛЭП 15 кВ от ВЛ 15-06 (инв.5115422) п. Яблоневка Гурьевский ГО</v>
      </c>
      <c r="B15" s="423"/>
      <c r="C15" s="423"/>
      <c r="D15" s="423"/>
      <c r="E15" s="423"/>
      <c r="F15" s="423"/>
      <c r="G15" s="423"/>
      <c r="H15" s="423"/>
      <c r="I15" s="423"/>
      <c r="J15" s="423"/>
      <c r="K15" s="423"/>
      <c r="L15" s="423"/>
    </row>
    <row r="16" spans="1:44" x14ac:dyDescent="0.25">
      <c r="A16" s="425" t="s">
        <v>4</v>
      </c>
      <c r="B16" s="425"/>
      <c r="C16" s="425"/>
      <c r="D16" s="425"/>
      <c r="E16" s="425"/>
      <c r="F16" s="425"/>
      <c r="G16" s="425"/>
      <c r="H16" s="425"/>
      <c r="I16" s="425"/>
      <c r="J16" s="425"/>
      <c r="K16" s="425"/>
      <c r="L16" s="425"/>
    </row>
    <row r="17" spans="1:12" ht="15.75" customHeight="1" x14ac:dyDescent="0.25">
      <c r="L17" s="96"/>
    </row>
    <row r="18" spans="1:12" x14ac:dyDescent="0.25">
      <c r="K18" s="95"/>
    </row>
    <row r="19" spans="1:12" ht="15.75" customHeight="1" x14ac:dyDescent="0.25">
      <c r="A19" s="487" t="s">
        <v>495</v>
      </c>
      <c r="B19" s="487"/>
      <c r="C19" s="487"/>
      <c r="D19" s="487"/>
      <c r="E19" s="487"/>
      <c r="F19" s="487"/>
      <c r="G19" s="487"/>
      <c r="H19" s="487"/>
      <c r="I19" s="487"/>
      <c r="J19" s="487"/>
      <c r="K19" s="487"/>
      <c r="L19" s="487"/>
    </row>
    <row r="20" spans="1:12" x14ac:dyDescent="0.25">
      <c r="A20" s="64"/>
      <c r="B20" s="64"/>
      <c r="C20" s="94"/>
      <c r="D20" s="94"/>
      <c r="E20" s="94"/>
      <c r="F20" s="94"/>
      <c r="G20" s="94"/>
      <c r="H20" s="94"/>
      <c r="I20" s="94"/>
      <c r="J20" s="94"/>
      <c r="K20" s="94"/>
      <c r="L20" s="94"/>
    </row>
    <row r="21" spans="1:12" ht="28.5" customHeight="1" x14ac:dyDescent="0.25">
      <c r="A21" s="488" t="s">
        <v>218</v>
      </c>
      <c r="B21" s="488" t="s">
        <v>217</v>
      </c>
      <c r="C21" s="494" t="s">
        <v>427</v>
      </c>
      <c r="D21" s="494"/>
      <c r="E21" s="494"/>
      <c r="F21" s="494"/>
      <c r="G21" s="494"/>
      <c r="H21" s="494"/>
      <c r="I21" s="489" t="s">
        <v>216</v>
      </c>
      <c r="J21" s="491" t="s">
        <v>429</v>
      </c>
      <c r="K21" s="488" t="s">
        <v>215</v>
      </c>
      <c r="L21" s="490" t="s">
        <v>428</v>
      </c>
    </row>
    <row r="22" spans="1:12" ht="58.5" customHeight="1" x14ac:dyDescent="0.25">
      <c r="A22" s="488"/>
      <c r="B22" s="488"/>
      <c r="C22" s="495" t="s">
        <v>2</v>
      </c>
      <c r="D22" s="495"/>
      <c r="E22" s="496" t="s">
        <v>641</v>
      </c>
      <c r="F22" s="497"/>
      <c r="G22" s="496" t="s">
        <v>647</v>
      </c>
      <c r="H22" s="497"/>
      <c r="I22" s="489"/>
      <c r="J22" s="492"/>
      <c r="K22" s="488"/>
      <c r="L22" s="490"/>
    </row>
    <row r="23" spans="1:12" ht="31.5" x14ac:dyDescent="0.25">
      <c r="A23" s="488"/>
      <c r="B23" s="488"/>
      <c r="C23" s="93" t="s">
        <v>214</v>
      </c>
      <c r="D23" s="93" t="s">
        <v>213</v>
      </c>
      <c r="E23" s="93" t="s">
        <v>214</v>
      </c>
      <c r="F23" s="93" t="s">
        <v>213</v>
      </c>
      <c r="G23" s="93" t="s">
        <v>214</v>
      </c>
      <c r="H23" s="93" t="s">
        <v>213</v>
      </c>
      <c r="I23" s="489"/>
      <c r="J23" s="493"/>
      <c r="K23" s="488"/>
      <c r="L23" s="49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645</v>
      </c>
      <c r="D26" s="305" t="s">
        <v>645</v>
      </c>
      <c r="E26" s="306">
        <v>42961</v>
      </c>
      <c r="F26" s="306">
        <v>42961</v>
      </c>
      <c r="G26" s="305"/>
      <c r="H26" s="306">
        <v>42338</v>
      </c>
      <c r="I26" s="305">
        <v>100</v>
      </c>
      <c r="J26" s="305"/>
      <c r="K26" s="85"/>
      <c r="L26" s="85"/>
    </row>
    <row r="27" spans="1:12" s="67" customFormat="1" ht="39" customHeight="1" x14ac:dyDescent="0.25">
      <c r="A27" s="88" t="s">
        <v>210</v>
      </c>
      <c r="B27" s="92" t="s">
        <v>436</v>
      </c>
      <c r="C27" s="86" t="s">
        <v>645</v>
      </c>
      <c r="D27" s="305" t="s">
        <v>645</v>
      </c>
      <c r="E27" s="305" t="s">
        <v>531</v>
      </c>
      <c r="F27" s="305" t="s">
        <v>531</v>
      </c>
      <c r="G27" s="305" t="s">
        <v>531</v>
      </c>
      <c r="H27" s="305" t="s">
        <v>531</v>
      </c>
      <c r="I27" s="305"/>
      <c r="J27" s="305"/>
      <c r="K27" s="85"/>
      <c r="L27" s="85"/>
    </row>
    <row r="28" spans="1:12" s="67" customFormat="1" ht="70.5" customHeight="1" x14ac:dyDescent="0.25">
      <c r="A28" s="88" t="s">
        <v>435</v>
      </c>
      <c r="B28" s="92" t="s">
        <v>440</v>
      </c>
      <c r="C28" s="86" t="s">
        <v>645</v>
      </c>
      <c r="D28" s="305" t="s">
        <v>645</v>
      </c>
      <c r="E28" s="305" t="s">
        <v>531</v>
      </c>
      <c r="F28" s="305" t="s">
        <v>531</v>
      </c>
      <c r="G28" s="305" t="s">
        <v>531</v>
      </c>
      <c r="H28" s="305" t="s">
        <v>531</v>
      </c>
      <c r="I28" s="305"/>
      <c r="J28" s="305"/>
      <c r="K28" s="85"/>
      <c r="L28" s="85"/>
    </row>
    <row r="29" spans="1:12" s="67" customFormat="1" ht="54" customHeight="1" x14ac:dyDescent="0.25">
      <c r="A29" s="88" t="s">
        <v>209</v>
      </c>
      <c r="B29" s="92" t="s">
        <v>439</v>
      </c>
      <c r="C29" s="86" t="s">
        <v>645</v>
      </c>
      <c r="D29" s="305" t="s">
        <v>645</v>
      </c>
      <c r="E29" s="305" t="s">
        <v>531</v>
      </c>
      <c r="F29" s="305" t="s">
        <v>531</v>
      </c>
      <c r="G29" s="305" t="s">
        <v>531</v>
      </c>
      <c r="H29" s="305" t="s">
        <v>531</v>
      </c>
      <c r="I29" s="305"/>
      <c r="J29" s="305"/>
      <c r="K29" s="85"/>
      <c r="L29" s="85"/>
    </row>
    <row r="30" spans="1:12" s="67" customFormat="1" ht="42" customHeight="1" x14ac:dyDescent="0.25">
      <c r="A30" s="88" t="s">
        <v>208</v>
      </c>
      <c r="B30" s="92" t="s">
        <v>441</v>
      </c>
      <c r="C30" s="86" t="s">
        <v>645</v>
      </c>
      <c r="D30" s="305" t="s">
        <v>645</v>
      </c>
      <c r="E30" s="305" t="s">
        <v>531</v>
      </c>
      <c r="F30" s="305" t="s">
        <v>531</v>
      </c>
      <c r="G30" s="305" t="s">
        <v>531</v>
      </c>
      <c r="H30" s="305" t="s">
        <v>531</v>
      </c>
      <c r="I30" s="305"/>
      <c r="J30" s="305"/>
      <c r="K30" s="85"/>
      <c r="L30" s="85"/>
    </row>
    <row r="31" spans="1:12" s="67" customFormat="1" ht="37.5" customHeight="1" x14ac:dyDescent="0.25">
      <c r="A31" s="88" t="s">
        <v>207</v>
      </c>
      <c r="B31" s="87" t="s">
        <v>437</v>
      </c>
      <c r="C31" s="86" t="s">
        <v>645</v>
      </c>
      <c r="D31" s="305" t="s">
        <v>645</v>
      </c>
      <c r="E31" s="306">
        <v>43291</v>
      </c>
      <c r="F31" s="306">
        <v>43291</v>
      </c>
      <c r="G31" s="306"/>
      <c r="H31" s="306"/>
      <c r="I31" s="305">
        <v>100</v>
      </c>
      <c r="J31" s="305"/>
      <c r="K31" s="85"/>
      <c r="L31" s="85"/>
    </row>
    <row r="32" spans="1:12" s="67" customFormat="1" ht="31.5" x14ac:dyDescent="0.25">
      <c r="A32" s="88" t="s">
        <v>205</v>
      </c>
      <c r="B32" s="87" t="s">
        <v>442</v>
      </c>
      <c r="C32" s="86" t="s">
        <v>645</v>
      </c>
      <c r="D32" s="305" t="s">
        <v>645</v>
      </c>
      <c r="E32" s="306" t="s">
        <v>740</v>
      </c>
      <c r="F32" s="306" t="s">
        <v>740</v>
      </c>
      <c r="G32" s="306"/>
      <c r="H32" s="306"/>
      <c r="I32" s="305">
        <v>100</v>
      </c>
      <c r="J32" s="305"/>
      <c r="K32" s="85"/>
      <c r="L32" s="85"/>
    </row>
    <row r="33" spans="1:12" s="67" customFormat="1" ht="37.5" customHeight="1" x14ac:dyDescent="0.25">
      <c r="A33" s="88" t="s">
        <v>453</v>
      </c>
      <c r="B33" s="87" t="s">
        <v>369</v>
      </c>
      <c r="C33" s="86" t="s">
        <v>645</v>
      </c>
      <c r="D33" s="305" t="s">
        <v>645</v>
      </c>
      <c r="E33" s="305" t="s">
        <v>531</v>
      </c>
      <c r="F33" s="305" t="s">
        <v>531</v>
      </c>
      <c r="G33" s="305" t="s">
        <v>531</v>
      </c>
      <c r="H33" s="305" t="s">
        <v>531</v>
      </c>
      <c r="I33" s="305"/>
      <c r="J33" s="305"/>
      <c r="K33" s="85"/>
      <c r="L33" s="85"/>
    </row>
    <row r="34" spans="1:12" s="67" customFormat="1" ht="47.25" customHeight="1" x14ac:dyDescent="0.25">
      <c r="A34" s="88" t="s">
        <v>454</v>
      </c>
      <c r="B34" s="87" t="s">
        <v>446</v>
      </c>
      <c r="C34" s="86" t="s">
        <v>645</v>
      </c>
      <c r="D34" s="305" t="s">
        <v>645</v>
      </c>
      <c r="E34" s="305" t="s">
        <v>531</v>
      </c>
      <c r="F34" s="305" t="s">
        <v>531</v>
      </c>
      <c r="G34" s="305" t="s">
        <v>531</v>
      </c>
      <c r="H34" s="305" t="s">
        <v>531</v>
      </c>
      <c r="I34" s="305"/>
      <c r="J34" s="305"/>
      <c r="K34" s="90"/>
      <c r="L34" s="85"/>
    </row>
    <row r="35" spans="1:12" s="67" customFormat="1" ht="49.5" customHeight="1" x14ac:dyDescent="0.25">
      <c r="A35" s="88" t="s">
        <v>455</v>
      </c>
      <c r="B35" s="87" t="s">
        <v>206</v>
      </c>
      <c r="C35" s="86" t="s">
        <v>645</v>
      </c>
      <c r="D35" s="305" t="s">
        <v>645</v>
      </c>
      <c r="E35" s="306" t="s">
        <v>740</v>
      </c>
      <c r="F35" s="306" t="s">
        <v>740</v>
      </c>
      <c r="G35" s="306"/>
      <c r="H35" s="306"/>
      <c r="I35" s="305">
        <v>100</v>
      </c>
      <c r="J35" s="305"/>
      <c r="K35" s="90"/>
      <c r="L35" s="85"/>
    </row>
    <row r="36" spans="1:12" ht="37.5" customHeight="1" x14ac:dyDescent="0.25">
      <c r="A36" s="88" t="s">
        <v>456</v>
      </c>
      <c r="B36" s="87" t="s">
        <v>438</v>
      </c>
      <c r="C36" s="86" t="s">
        <v>645</v>
      </c>
      <c r="D36" s="307" t="s">
        <v>645</v>
      </c>
      <c r="E36" s="305" t="s">
        <v>531</v>
      </c>
      <c r="F36" s="305" t="s">
        <v>531</v>
      </c>
      <c r="G36" s="305" t="s">
        <v>531</v>
      </c>
      <c r="H36" s="305" t="s">
        <v>531</v>
      </c>
      <c r="I36" s="305"/>
      <c r="J36" s="305"/>
      <c r="K36" s="85"/>
      <c r="L36" s="85"/>
    </row>
    <row r="37" spans="1:12" ht="31.5" x14ac:dyDescent="0.25">
      <c r="A37" s="88" t="s">
        <v>457</v>
      </c>
      <c r="B37" s="87" t="s">
        <v>204</v>
      </c>
      <c r="C37" s="86" t="s">
        <v>645</v>
      </c>
      <c r="D37" s="307" t="s">
        <v>645</v>
      </c>
      <c r="E37" s="306" t="s">
        <v>740</v>
      </c>
      <c r="F37" s="306" t="s">
        <v>740</v>
      </c>
      <c r="G37" s="306"/>
      <c r="H37" s="306"/>
      <c r="I37" s="305">
        <v>100</v>
      </c>
      <c r="J37" s="305"/>
      <c r="K37" s="85"/>
      <c r="L37" s="85"/>
    </row>
    <row r="38" spans="1:12" x14ac:dyDescent="0.25">
      <c r="A38" s="88" t="s">
        <v>458</v>
      </c>
      <c r="B38" s="89" t="s">
        <v>203</v>
      </c>
      <c r="C38" s="86" t="s">
        <v>645</v>
      </c>
      <c r="D38" s="307" t="s">
        <v>645</v>
      </c>
      <c r="E38" s="307"/>
      <c r="F38" s="307"/>
      <c r="G38" s="307"/>
      <c r="H38" s="307"/>
      <c r="I38" s="307"/>
      <c r="J38" s="307"/>
      <c r="K38" s="85"/>
      <c r="L38" s="85"/>
    </row>
    <row r="39" spans="1:12" ht="63" x14ac:dyDescent="0.25">
      <c r="A39" s="88">
        <v>2</v>
      </c>
      <c r="B39" s="346" t="s">
        <v>443</v>
      </c>
      <c r="C39" s="86" t="s">
        <v>645</v>
      </c>
      <c r="D39" s="307" t="s">
        <v>645</v>
      </c>
      <c r="E39" s="306" t="s">
        <v>698</v>
      </c>
      <c r="F39" s="306" t="s">
        <v>698</v>
      </c>
      <c r="G39" s="306"/>
      <c r="H39" s="306"/>
      <c r="I39" s="305"/>
      <c r="J39" s="305"/>
      <c r="K39" s="85"/>
      <c r="L39" s="85"/>
    </row>
    <row r="40" spans="1:12" ht="33.75" customHeight="1" x14ac:dyDescent="0.25">
      <c r="A40" s="88" t="s">
        <v>202</v>
      </c>
      <c r="B40" s="87" t="s">
        <v>445</v>
      </c>
      <c r="C40" s="86" t="s">
        <v>645</v>
      </c>
      <c r="D40" s="307" t="s">
        <v>645</v>
      </c>
      <c r="E40" s="306">
        <v>44118</v>
      </c>
      <c r="F40" s="306">
        <v>44194</v>
      </c>
      <c r="G40" s="306"/>
      <c r="H40" s="306"/>
      <c r="I40" s="305">
        <v>100</v>
      </c>
      <c r="J40" s="307"/>
      <c r="K40" s="85"/>
      <c r="L40" s="85"/>
    </row>
    <row r="41" spans="1:12" ht="63" customHeight="1" x14ac:dyDescent="0.25">
      <c r="A41" s="88" t="s">
        <v>201</v>
      </c>
      <c r="B41" s="89" t="s">
        <v>526</v>
      </c>
      <c r="C41" s="86" t="s">
        <v>645</v>
      </c>
      <c r="D41" s="307" t="s">
        <v>645</v>
      </c>
      <c r="E41" s="307"/>
      <c r="F41" s="307"/>
      <c r="G41" s="307"/>
      <c r="H41" s="307"/>
      <c r="I41" s="307"/>
      <c r="J41" s="307"/>
      <c r="K41" s="85"/>
      <c r="L41" s="85"/>
    </row>
    <row r="42" spans="1:12" ht="58.5" customHeight="1" x14ac:dyDescent="0.25">
      <c r="A42" s="88">
        <v>3</v>
      </c>
      <c r="B42" s="87" t="s">
        <v>444</v>
      </c>
      <c r="C42" s="86" t="s">
        <v>645</v>
      </c>
      <c r="D42" s="307" t="s">
        <v>645</v>
      </c>
      <c r="E42" s="306">
        <v>43535</v>
      </c>
      <c r="F42" s="306">
        <v>43535</v>
      </c>
      <c r="G42" s="306"/>
      <c r="H42" s="306"/>
      <c r="I42" s="305">
        <v>100</v>
      </c>
      <c r="J42" s="305"/>
      <c r="K42" s="85"/>
      <c r="L42" s="85"/>
    </row>
    <row r="43" spans="1:12" ht="34.5" customHeight="1" x14ac:dyDescent="0.25">
      <c r="A43" s="88" t="s">
        <v>200</v>
      </c>
      <c r="B43" s="87" t="s">
        <v>198</v>
      </c>
      <c r="C43" s="86" t="s">
        <v>645</v>
      </c>
      <c r="D43" s="307" t="s">
        <v>645</v>
      </c>
      <c r="E43" s="306">
        <v>44118</v>
      </c>
      <c r="F43" s="306">
        <v>44194</v>
      </c>
      <c r="G43" s="306"/>
      <c r="H43" s="306"/>
      <c r="I43" s="305">
        <v>100</v>
      </c>
      <c r="J43" s="305"/>
      <c r="K43" s="85"/>
      <c r="L43" s="85"/>
    </row>
    <row r="44" spans="1:12" ht="24.75" customHeight="1" x14ac:dyDescent="0.25">
      <c r="A44" s="88" t="s">
        <v>199</v>
      </c>
      <c r="B44" s="87" t="s">
        <v>196</v>
      </c>
      <c r="C44" s="86" t="s">
        <v>645</v>
      </c>
      <c r="D44" s="307" t="s">
        <v>645</v>
      </c>
      <c r="E44" s="306">
        <v>44348</v>
      </c>
      <c r="F44" s="306">
        <v>44377</v>
      </c>
      <c r="G44" s="308"/>
      <c r="H44" s="308"/>
      <c r="I44" s="305">
        <v>100</v>
      </c>
      <c r="J44" s="305"/>
      <c r="K44" s="85"/>
      <c r="L44" s="85"/>
    </row>
    <row r="45" spans="1:12" ht="90.75" customHeight="1" x14ac:dyDescent="0.25">
      <c r="A45" s="88" t="s">
        <v>197</v>
      </c>
      <c r="B45" s="87" t="s">
        <v>449</v>
      </c>
      <c r="C45" s="86" t="s">
        <v>645</v>
      </c>
      <c r="D45" s="307" t="s">
        <v>645</v>
      </c>
      <c r="E45" s="305" t="s">
        <v>531</v>
      </c>
      <c r="F45" s="305" t="s">
        <v>531</v>
      </c>
      <c r="G45" s="305"/>
      <c r="H45" s="305"/>
      <c r="I45" s="305"/>
      <c r="J45" s="305"/>
      <c r="K45" s="85"/>
      <c r="L45" s="85"/>
    </row>
    <row r="46" spans="1:12" ht="167.25" customHeight="1" x14ac:dyDescent="0.25">
      <c r="A46" s="88" t="s">
        <v>195</v>
      </c>
      <c r="B46" s="87" t="s">
        <v>447</v>
      </c>
      <c r="C46" s="86" t="s">
        <v>645</v>
      </c>
      <c r="D46" s="307" t="s">
        <v>645</v>
      </c>
      <c r="E46" s="305" t="s">
        <v>531</v>
      </c>
      <c r="F46" s="305" t="s">
        <v>531</v>
      </c>
      <c r="G46" s="305"/>
      <c r="H46" s="305"/>
      <c r="I46" s="305"/>
      <c r="J46" s="305"/>
      <c r="K46" s="85"/>
      <c r="L46" s="85"/>
    </row>
    <row r="47" spans="1:12" ht="30.75" customHeight="1" x14ac:dyDescent="0.25">
      <c r="A47" s="88" t="s">
        <v>193</v>
      </c>
      <c r="B47" s="87" t="s">
        <v>194</v>
      </c>
      <c r="C47" s="86" t="s">
        <v>645</v>
      </c>
      <c r="D47" s="307" t="s">
        <v>645</v>
      </c>
      <c r="E47" s="308"/>
      <c r="F47" s="308"/>
      <c r="G47" s="308"/>
      <c r="H47" s="308"/>
      <c r="I47" s="307"/>
      <c r="J47" s="307"/>
      <c r="K47" s="85"/>
      <c r="L47" s="85"/>
    </row>
    <row r="48" spans="1:12" ht="37.5" customHeight="1" x14ac:dyDescent="0.25">
      <c r="A48" s="88" t="s">
        <v>459</v>
      </c>
      <c r="B48" s="89" t="s">
        <v>192</v>
      </c>
      <c r="C48" s="86" t="s">
        <v>645</v>
      </c>
      <c r="D48" s="307" t="s">
        <v>645</v>
      </c>
      <c r="E48" s="307"/>
      <c r="F48" s="307"/>
      <c r="G48" s="307"/>
      <c r="H48" s="307"/>
      <c r="I48" s="307"/>
      <c r="J48" s="307"/>
      <c r="K48" s="85"/>
      <c r="L48" s="85"/>
    </row>
    <row r="49" spans="1:12" ht="35.25" customHeight="1" x14ac:dyDescent="0.25">
      <c r="A49" s="88">
        <v>4</v>
      </c>
      <c r="B49" s="87" t="s">
        <v>190</v>
      </c>
      <c r="C49" s="86" t="s">
        <v>645</v>
      </c>
      <c r="D49" s="307" t="s">
        <v>645</v>
      </c>
      <c r="E49" s="308"/>
      <c r="F49" s="308"/>
      <c r="G49" s="308"/>
      <c r="H49" s="308"/>
      <c r="I49" s="307"/>
      <c r="J49" s="307"/>
      <c r="K49" s="85"/>
      <c r="L49" s="85"/>
    </row>
    <row r="50" spans="1:12" ht="86.25" customHeight="1" x14ac:dyDescent="0.25">
      <c r="A50" s="88" t="s">
        <v>191</v>
      </c>
      <c r="B50" s="87" t="s">
        <v>448</v>
      </c>
      <c r="C50" s="86" t="s">
        <v>645</v>
      </c>
      <c r="D50" s="307" t="s">
        <v>645</v>
      </c>
      <c r="E50" s="306"/>
      <c r="F50" s="306"/>
      <c r="G50" s="308"/>
      <c r="H50" s="308"/>
      <c r="I50" s="307"/>
      <c r="J50" s="307"/>
      <c r="K50" s="85"/>
      <c r="L50" s="85"/>
    </row>
    <row r="51" spans="1:12" ht="77.25" customHeight="1" x14ac:dyDescent="0.25">
      <c r="A51" s="88" t="s">
        <v>189</v>
      </c>
      <c r="B51" s="87" t="s">
        <v>450</v>
      </c>
      <c r="C51" s="86" t="s">
        <v>645</v>
      </c>
      <c r="D51" s="307" t="s">
        <v>645</v>
      </c>
      <c r="E51" s="305"/>
      <c r="F51" s="305"/>
      <c r="G51" s="308"/>
      <c r="H51" s="308"/>
      <c r="I51" s="307"/>
      <c r="J51" s="307"/>
      <c r="K51" s="85"/>
      <c r="L51" s="85"/>
    </row>
    <row r="52" spans="1:12" ht="71.25" customHeight="1" x14ac:dyDescent="0.25">
      <c r="A52" s="88" t="s">
        <v>187</v>
      </c>
      <c r="B52" s="87" t="s">
        <v>188</v>
      </c>
      <c r="C52" s="86" t="s">
        <v>645</v>
      </c>
      <c r="D52" s="307" t="s">
        <v>645</v>
      </c>
      <c r="E52" s="308"/>
      <c r="F52" s="308"/>
      <c r="G52" s="308"/>
      <c r="H52" s="308"/>
      <c r="I52" s="307"/>
      <c r="J52" s="307"/>
      <c r="K52" s="85"/>
      <c r="L52" s="85"/>
    </row>
    <row r="53" spans="1:12" ht="48" customHeight="1" x14ac:dyDescent="0.25">
      <c r="A53" s="88" t="s">
        <v>185</v>
      </c>
      <c r="B53" s="149" t="s">
        <v>451</v>
      </c>
      <c r="C53" s="86" t="s">
        <v>645</v>
      </c>
      <c r="D53" s="307" t="s">
        <v>645</v>
      </c>
      <c r="E53" s="306"/>
      <c r="F53" s="306"/>
      <c r="G53" s="308"/>
      <c r="H53" s="308"/>
      <c r="I53" s="307"/>
      <c r="J53" s="307"/>
      <c r="K53" s="85"/>
      <c r="L53" s="85"/>
    </row>
    <row r="54" spans="1:12" ht="46.5" customHeight="1" x14ac:dyDescent="0.25">
      <c r="A54" s="88" t="s">
        <v>452</v>
      </c>
      <c r="B54" s="87" t="s">
        <v>186</v>
      </c>
      <c r="C54" s="86" t="s">
        <v>645</v>
      </c>
      <c r="D54" s="307" t="s">
        <v>645</v>
      </c>
      <c r="E54" s="305"/>
      <c r="F54" s="305"/>
      <c r="G54" s="308"/>
      <c r="H54" s="308"/>
      <c r="I54" s="307"/>
      <c r="J54" s="307"/>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2022-02-12T12:43:27Z</dcterms:modified>
</cp:coreProperties>
</file>