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 1" sheetId="29" r:id="rId6"/>
    <sheet name="3.4. Паспорт надежность" sheetId="17" r:id="rId7"/>
    <sheet name="4. паспортбюджет" sheetId="10" r:id="rId8"/>
    <sheet name="5. анализ эконом эфф" sheetId="30" r:id="rId9"/>
    <sheet name="6.1. Паспорт сетевой график" sheetId="16" r:id="rId10"/>
    <sheet name="6.2. Паспорт фин осв ввод" sheetId="27" r:id="rId11"/>
    <sheet name="7. Паспорт отчет о закупке" sheetId="5" r:id="rId12"/>
    <sheet name="8. Общие сведения" sheetId="23" r:id="rId13"/>
  </sheets>
  <externalReferences>
    <externalReference r:id="rId14"/>
  </externalReferences>
  <definedNames>
    <definedName name="_xlnm._FilterDatabase" localSheetId="5" hidden="1">'Приложение № 1'!$A$3:$P$65</definedName>
    <definedName name="Вид_работ" localSheetId="10">#REF!</definedName>
    <definedName name="Вид_работ" localSheetId="5">#REF!</definedName>
    <definedName name="Вид_работ">#REF!</definedName>
    <definedName name="Вид_работ_2" localSheetId="10">#REF!</definedName>
    <definedName name="Вид_работ_2" localSheetId="5">#REF!</definedName>
    <definedName name="Вид_работ_2">#REF!</definedName>
    <definedName name="Виды_затрат" localSheetId="10">#REF!</definedName>
    <definedName name="Виды_затрат" localSheetId="5">#REF!</definedName>
    <definedName name="Виды_затрат">#REF!</definedName>
    <definedName name="Виды_работ" localSheetId="10">#REF!</definedName>
    <definedName name="Виды_работ" localSheetId="5">#REF!</definedName>
    <definedName name="Виды_работ">#REF!</definedName>
    <definedName name="Графики" localSheetId="10">#REF!</definedName>
    <definedName name="Графики" localSheetId="5">#REF!</definedName>
    <definedName name="Графики">#REF!</definedName>
    <definedName name="Группа_инвестпроектов" localSheetId="10">#REF!</definedName>
    <definedName name="Группа_инвестпроектов" localSheetId="5">#REF!</definedName>
    <definedName name="Группа_инвестпроектов">#REF!</definedName>
    <definedName name="деньги" localSheetId="10">#REF!</definedName>
    <definedName name="деньги" localSheetId="5">#REF!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10">#REF!</definedName>
    <definedName name="источник" localSheetId="5">#REF!</definedName>
    <definedName name="источник">#REF!</definedName>
    <definedName name="Категории_мероприятий" localSheetId="10">#REF!</definedName>
    <definedName name="Категории_мероприятий" localSheetId="5">#REF!</definedName>
    <definedName name="Категории_мероприятий">#REF!</definedName>
    <definedName name="Методика_расчета" localSheetId="10">#REF!</definedName>
    <definedName name="Методика_расчета" localSheetId="5">#REF!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надежность'!$A$1:$Z$33</definedName>
    <definedName name="_xlnm.Print_Area" localSheetId="7">'4. паспортбюджет'!$A$1:$M$22</definedName>
    <definedName name="_xlnm.Print_Area" localSheetId="9">'6.1. Паспорт сетевой график'!$A$1:$L$54</definedName>
    <definedName name="_xlnm.Print_Area" localSheetId="10">'6.2. Паспорт фин осв ввод'!$A$1:$U$64</definedName>
    <definedName name="_xlnm.Print_Area" localSheetId="12">'8. Общие сведения'!$A$1:$B$139</definedName>
    <definedName name="_xlnm.Print_Area" localSheetId="5">'Приложение № 1'!$A$1:$P$65</definedName>
    <definedName name="Определен_источник" localSheetId="10">#REF!</definedName>
    <definedName name="Определен_источник" localSheetId="5">#REF!</definedName>
    <definedName name="Определен_источник">#REF!</definedName>
    <definedName name="Снижение" localSheetId="10">#REF!</definedName>
    <definedName name="Снижение" localSheetId="5">#REF!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 localSheetId="5">#REF!</definedName>
    <definedName name="Стадия_реализации">#REF!</definedName>
    <definedName name="Тип_проекта" localSheetId="10">#REF!</definedName>
    <definedName name="Тип_проекта" localSheetId="5">#REF!</definedName>
    <definedName name="Тип_проекта">#REF!</definedName>
  </definedNames>
  <calcPr calcId="152511"/>
</workbook>
</file>

<file path=xl/calcChain.xml><?xml version="1.0" encoding="utf-8"?>
<calcChain xmlns="http://schemas.openxmlformats.org/spreadsheetml/2006/main">
  <c r="B96" i="23" l="1"/>
  <c r="B74" i="23"/>
  <c r="B58" i="23"/>
  <c r="B57" i="23"/>
  <c r="B114" i="23" l="1"/>
  <c r="AE50" i="5" l="1"/>
  <c r="AD50" i="5"/>
  <c r="O61" i="29" l="1"/>
  <c r="N61" i="29"/>
  <c r="E61" i="29"/>
  <c r="O60" i="29"/>
  <c r="G60" i="29"/>
  <c r="H60" i="29" s="1"/>
  <c r="N58" i="29"/>
  <c r="M58" i="29"/>
  <c r="L58" i="29"/>
  <c r="K58" i="29"/>
  <c r="J58" i="29"/>
  <c r="I58" i="29"/>
  <c r="E58" i="29"/>
  <c r="O57" i="29"/>
  <c r="O56" i="29"/>
  <c r="O55" i="29"/>
  <c r="O54" i="29"/>
  <c r="O53" i="29"/>
  <c r="O52" i="29"/>
  <c r="N51" i="29"/>
  <c r="M51" i="29"/>
  <c r="K51" i="29"/>
  <c r="J51" i="29"/>
  <c r="I51" i="29"/>
  <c r="G51" i="29"/>
  <c r="G59" i="29" s="1"/>
  <c r="E51" i="29"/>
  <c r="O50" i="29"/>
  <c r="O49" i="29"/>
  <c r="O48" i="29"/>
  <c r="O47" i="29"/>
  <c r="O46" i="29"/>
  <c r="O45" i="29"/>
  <c r="O44" i="29"/>
  <c r="O43" i="29"/>
  <c r="L42" i="29"/>
  <c r="L51" i="29" s="1"/>
  <c r="O41" i="29"/>
  <c r="N40" i="29"/>
  <c r="M40" i="29"/>
  <c r="L40" i="29"/>
  <c r="K40" i="29"/>
  <c r="J40" i="29"/>
  <c r="I40" i="29"/>
  <c r="E40" i="29"/>
  <c r="O39" i="29"/>
  <c r="G39" i="29"/>
  <c r="H39" i="29" s="1"/>
  <c r="O38" i="29"/>
  <c r="G38" i="29"/>
  <c r="H38" i="29" s="1"/>
  <c r="O37" i="29"/>
  <c r="G37" i="29"/>
  <c r="H37" i="29" s="1"/>
  <c r="O36" i="29"/>
  <c r="G36" i="29"/>
  <c r="H36" i="29" s="1"/>
  <c r="O35" i="29"/>
  <c r="G35" i="29"/>
  <c r="H35" i="29" s="1"/>
  <c r="O34" i="29"/>
  <c r="G34" i="29"/>
  <c r="H34" i="29" s="1"/>
  <c r="O33" i="29"/>
  <c r="G33" i="29"/>
  <c r="O32" i="29"/>
  <c r="G32" i="29"/>
  <c r="H32" i="29" s="1"/>
  <c r="O31" i="29"/>
  <c r="N31" i="29"/>
  <c r="M31" i="29"/>
  <c r="L31" i="29"/>
  <c r="K31" i="29"/>
  <c r="J31" i="29"/>
  <c r="I31" i="29"/>
  <c r="O29" i="29"/>
  <c r="N29" i="29"/>
  <c r="M29" i="29"/>
  <c r="L29" i="29"/>
  <c r="K29" i="29"/>
  <c r="J29" i="29"/>
  <c r="I29" i="29"/>
  <c r="O24" i="29"/>
  <c r="N24" i="29"/>
  <c r="M24" i="29"/>
  <c r="L24" i="29"/>
  <c r="K24" i="29"/>
  <c r="J24" i="29"/>
  <c r="I24" i="29"/>
  <c r="O19" i="29"/>
  <c r="N19" i="29"/>
  <c r="M19" i="29"/>
  <c r="L19" i="29"/>
  <c r="K19" i="29"/>
  <c r="J19" i="29"/>
  <c r="I19" i="29"/>
  <c r="O15" i="29"/>
  <c r="M15" i="29"/>
  <c r="L15" i="29"/>
  <c r="K15" i="29"/>
  <c r="J15" i="29"/>
  <c r="I15" i="29"/>
  <c r="O40" i="29" l="1"/>
  <c r="O42" i="29"/>
  <c r="O51" i="29" s="1"/>
  <c r="O58" i="29"/>
  <c r="J59" i="29"/>
  <c r="J63" i="29" s="1"/>
  <c r="L59" i="29"/>
  <c r="L63" i="29" s="1"/>
  <c r="N59" i="29"/>
  <c r="N63" i="29" s="1"/>
  <c r="G40" i="29"/>
  <c r="I59" i="29"/>
  <c r="K59" i="29"/>
  <c r="K63" i="29" s="1"/>
  <c r="M59" i="29"/>
  <c r="M63" i="29" s="1"/>
  <c r="E63" i="29"/>
  <c r="I63" i="29"/>
  <c r="G61" i="29"/>
  <c r="G63" i="29" s="1"/>
  <c r="H33" i="29"/>
  <c r="O59" i="29" l="1"/>
  <c r="O63" i="29" s="1"/>
  <c r="O65" i="29" s="1"/>
  <c r="E27" i="27"/>
  <c r="G50" i="27" l="1"/>
  <c r="C30" i="27"/>
  <c r="C52" i="27" s="1"/>
  <c r="C24" i="27"/>
  <c r="G30" i="27"/>
  <c r="H30" i="27"/>
  <c r="I30" i="27"/>
  <c r="G24" i="27"/>
  <c r="I24" i="27"/>
  <c r="E30" i="27" l="1"/>
  <c r="B27" i="23" l="1"/>
  <c r="B106" i="23" l="1"/>
  <c r="B98" i="23"/>
  <c r="B84" i="23"/>
  <c r="B76" i="23"/>
  <c r="B71" i="23"/>
  <c r="B63" i="23"/>
  <c r="B54" i="23"/>
  <c r="B42" i="23"/>
  <c r="B34" i="23"/>
  <c r="B110" i="23"/>
  <c r="B102" i="23"/>
  <c r="B88" i="23"/>
  <c r="B80" i="23"/>
  <c r="B67" i="23"/>
  <c r="B59" i="23"/>
  <c r="B46" i="23"/>
  <c r="B38" i="23"/>
  <c r="E64" i="27"/>
  <c r="E63" i="27"/>
  <c r="E62" i="27"/>
  <c r="F62" i="27" s="1"/>
  <c r="E61" i="27"/>
  <c r="F61" i="27" s="1"/>
  <c r="E60" i="27"/>
  <c r="F60" i="27" s="1"/>
  <c r="E59" i="27"/>
  <c r="F59" i="27" s="1"/>
  <c r="E58" i="27"/>
  <c r="F58" i="27" s="1"/>
  <c r="F56" i="27"/>
  <c r="F52" i="27"/>
  <c r="F50" i="27"/>
  <c r="F57" i="27" s="1"/>
  <c r="E49" i="27"/>
  <c r="F49" i="27" s="1"/>
  <c r="E48" i="27"/>
  <c r="F48" i="27" s="1"/>
  <c r="E47" i="27"/>
  <c r="E46" i="27"/>
  <c r="F46" i="27" s="1"/>
  <c r="E45" i="27"/>
  <c r="F45" i="27" s="1"/>
  <c r="E44" i="27"/>
  <c r="F44" i="27" s="1"/>
  <c r="E43" i="27"/>
  <c r="F43" i="27" s="1"/>
  <c r="E42" i="27"/>
  <c r="F42" i="27" s="1"/>
  <c r="E41" i="27"/>
  <c r="F41" i="27" s="1"/>
  <c r="E40" i="27"/>
  <c r="F40" i="27" s="1"/>
  <c r="E39" i="27"/>
  <c r="F39" i="27" s="1"/>
  <c r="E38" i="27"/>
  <c r="F38" i="27" s="1"/>
  <c r="E37" i="27"/>
  <c r="F37" i="27" s="1"/>
  <c r="E36" i="27"/>
  <c r="F36" i="27" s="1"/>
  <c r="E35" i="27"/>
  <c r="F35" i="27" s="1"/>
  <c r="E34" i="27"/>
  <c r="F34" i="27" s="1"/>
  <c r="E33" i="27"/>
  <c r="F33" i="27" s="1"/>
  <c r="E32" i="27"/>
  <c r="F32" i="27" s="1"/>
  <c r="E31" i="27"/>
  <c r="E29" i="27"/>
  <c r="F29" i="27" s="1"/>
  <c r="E28" i="27"/>
  <c r="F28" i="27" s="1"/>
  <c r="F27" i="27"/>
  <c r="H24" i="27" s="1"/>
  <c r="E26" i="27"/>
  <c r="F26" i="27" s="1"/>
  <c r="E25" i="27"/>
  <c r="F25" i="27" s="1"/>
  <c r="A14" i="27"/>
  <c r="A11" i="27"/>
  <c r="A8" i="27"/>
  <c r="A4" i="27"/>
  <c r="U64" i="27"/>
  <c r="T64" i="27"/>
  <c r="F64" i="27"/>
  <c r="U63" i="27"/>
  <c r="T63" i="27"/>
  <c r="F63" i="27"/>
  <c r="U62" i="27"/>
  <c r="T62" i="27"/>
  <c r="U61" i="27"/>
  <c r="T61" i="27"/>
  <c r="U60" i="27"/>
  <c r="T60" i="27"/>
  <c r="U59" i="27"/>
  <c r="T59" i="27"/>
  <c r="U58" i="27"/>
  <c r="T58" i="27"/>
  <c r="U57" i="27"/>
  <c r="T57" i="27"/>
  <c r="U56" i="27"/>
  <c r="T56" i="27"/>
  <c r="U55" i="27"/>
  <c r="T55" i="27"/>
  <c r="F55" i="27"/>
  <c r="U54" i="27"/>
  <c r="T54" i="27"/>
  <c r="F54" i="27"/>
  <c r="U53" i="27"/>
  <c r="T53" i="27"/>
  <c r="F53" i="27"/>
  <c r="U52" i="27"/>
  <c r="T52" i="27"/>
  <c r="U51" i="27"/>
  <c r="T51" i="27"/>
  <c r="F51" i="27"/>
  <c r="U50" i="27"/>
  <c r="T50" i="27"/>
  <c r="U49" i="27"/>
  <c r="T49" i="27"/>
  <c r="U48" i="27"/>
  <c r="T48" i="27"/>
  <c r="U47" i="27"/>
  <c r="T47" i="27"/>
  <c r="F47" i="27"/>
  <c r="U46" i="27"/>
  <c r="T46" i="27"/>
  <c r="U45" i="27"/>
  <c r="T45" i="27"/>
  <c r="U44" i="27"/>
  <c r="T44" i="27"/>
  <c r="U43" i="27"/>
  <c r="T43" i="27"/>
  <c r="U42" i="27"/>
  <c r="T42" i="27"/>
  <c r="U41" i="27"/>
  <c r="T41" i="27"/>
  <c r="U40" i="27"/>
  <c r="T40" i="27"/>
  <c r="U39" i="27"/>
  <c r="T39" i="27"/>
  <c r="U38" i="27"/>
  <c r="T38" i="27"/>
  <c r="U37" i="27"/>
  <c r="T37" i="27"/>
  <c r="U36" i="27"/>
  <c r="T36" i="27"/>
  <c r="U35" i="27"/>
  <c r="T35" i="27"/>
  <c r="U34" i="27"/>
  <c r="T34" i="27"/>
  <c r="U33" i="27"/>
  <c r="T33" i="27"/>
  <c r="U32" i="27"/>
  <c r="T32" i="27"/>
  <c r="U31" i="27"/>
  <c r="T31" i="27"/>
  <c r="S30" i="27"/>
  <c r="R30" i="27"/>
  <c r="Q30" i="27"/>
  <c r="P30" i="27"/>
  <c r="O30" i="27"/>
  <c r="N30" i="27"/>
  <c r="M30" i="27"/>
  <c r="L30" i="27"/>
  <c r="T30" i="27" s="1"/>
  <c r="K30" i="27"/>
  <c r="J30" i="27"/>
  <c r="U30" i="27" s="1"/>
  <c r="C49" i="7" s="1"/>
  <c r="D30" i="27"/>
  <c r="U29" i="27"/>
  <c r="T29" i="27"/>
  <c r="U28" i="27"/>
  <c r="T28" i="27"/>
  <c r="U27" i="27"/>
  <c r="U26" i="27"/>
  <c r="T26" i="27"/>
  <c r="U25" i="27"/>
  <c r="T25" i="27"/>
  <c r="S24" i="27"/>
  <c r="R24" i="27"/>
  <c r="Q24" i="27"/>
  <c r="P24" i="27"/>
  <c r="O24" i="27"/>
  <c r="N24" i="27"/>
  <c r="M24" i="27"/>
  <c r="L24" i="27"/>
  <c r="K24" i="27"/>
  <c r="J24" i="27"/>
  <c r="U24" i="27" s="1"/>
  <c r="C48" i="7" s="1"/>
  <c r="D24" i="27"/>
  <c r="B25" i="30"/>
  <c r="A15" i="10"/>
  <c r="A12" i="10"/>
  <c r="A9" i="10"/>
  <c r="A5" i="10"/>
  <c r="T24" i="27" l="1"/>
  <c r="T27" i="27"/>
  <c r="E24" i="27"/>
  <c r="F24" i="27"/>
  <c r="F31" i="27"/>
  <c r="F30" i="27" s="1"/>
  <c r="B116" i="23" l="1"/>
  <c r="AD53" i="5" l="1"/>
  <c r="B29" i="23" s="1"/>
  <c r="B32" i="23" l="1"/>
  <c r="L26" i="5" l="1"/>
  <c r="L27" i="5" s="1"/>
  <c r="L36" i="5" s="1"/>
  <c r="L42" i="5" s="1"/>
  <c r="D26" i="5"/>
  <c r="D27" i="5" s="1"/>
  <c r="D36" i="5" s="1"/>
  <c r="D42" i="5" s="1"/>
  <c r="D46" i="5" s="1"/>
  <c r="D50" i="5" s="1"/>
  <c r="D51" i="5" s="1"/>
  <c r="B22" i="23" l="1"/>
  <c r="E52" i="30" l="1"/>
  <c r="D52" i="30" s="1"/>
  <c r="C52" i="30" s="1"/>
  <c r="B52" i="30" s="1"/>
  <c r="F52" i="30"/>
  <c r="G52" i="30" s="1"/>
  <c r="H52" i="30" s="1"/>
  <c r="I52" i="30" s="1"/>
  <c r="B51" i="30"/>
  <c r="C48" i="30"/>
  <c r="D48" i="30"/>
  <c r="E48" i="30"/>
  <c r="F48" i="30"/>
  <c r="G48" i="30"/>
  <c r="H48" i="30"/>
  <c r="I48" i="30"/>
  <c r="J48" i="30"/>
  <c r="K48" i="30"/>
  <c r="L48" i="30"/>
  <c r="M48" i="30"/>
  <c r="N48" i="30"/>
  <c r="O48" i="30"/>
  <c r="P48" i="30"/>
  <c r="B49" i="30"/>
  <c r="B48" i="30"/>
  <c r="B113" i="30"/>
  <c r="J113" i="30" s="1"/>
  <c r="F114" i="30" s="1"/>
  <c r="B114" i="30" l="1"/>
  <c r="C115" i="30" s="1"/>
  <c r="C114" i="30"/>
  <c r="E114" i="30"/>
  <c r="G114" i="30"/>
  <c r="I114" i="30"/>
  <c r="H114" i="30"/>
  <c r="D114" i="30"/>
  <c r="D115" i="30" l="1"/>
  <c r="E115" i="30" s="1"/>
  <c r="F115" i="30" s="1"/>
  <c r="G115" i="30" s="1"/>
  <c r="H115" i="30" s="1"/>
  <c r="I115" i="30" s="1"/>
  <c r="J115" i="30" s="1"/>
  <c r="C53" i="30" l="1"/>
  <c r="A15" i="30"/>
  <c r="A12" i="30"/>
  <c r="A9" i="30"/>
  <c r="A5" i="30"/>
  <c r="D109" i="30"/>
  <c r="D76" i="30" s="1"/>
  <c r="C109" i="30"/>
  <c r="C76" i="30" s="1"/>
  <c r="B109" i="30"/>
  <c r="B76" i="30" s="1"/>
  <c r="C107" i="30"/>
  <c r="D107" i="30" s="1"/>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C105" i="30"/>
  <c r="C103" i="30"/>
  <c r="D103" i="30" s="1"/>
  <c r="E103" i="30" s="1"/>
  <c r="F103" i="30" s="1"/>
  <c r="G103" i="30" s="1"/>
  <c r="H103" i="30" s="1"/>
  <c r="I103" i="30" s="1"/>
  <c r="J103" i="30" s="1"/>
  <c r="K103" i="30" s="1"/>
  <c r="L103" i="30" s="1"/>
  <c r="M103" i="30" s="1"/>
  <c r="N103" i="30" s="1"/>
  <c r="O103" i="30" s="1"/>
  <c r="P103" i="30" s="1"/>
  <c r="Q103" i="30" s="1"/>
  <c r="R103" i="30" s="1"/>
  <c r="S103" i="30" s="1"/>
  <c r="T103" i="30" s="1"/>
  <c r="U103" i="30" s="1"/>
  <c r="V103" i="30" s="1"/>
  <c r="W103" i="30" s="1"/>
  <c r="X103" i="30" s="1"/>
  <c r="Y103" i="30" s="1"/>
  <c r="Z103" i="30" s="1"/>
  <c r="AA103" i="30" s="1"/>
  <c r="AB103" i="30" s="1"/>
  <c r="AC103" i="30" s="1"/>
  <c r="AD103" i="30" s="1"/>
  <c r="AE103" i="30" s="1"/>
  <c r="AF103" i="30" s="1"/>
  <c r="AG103" i="30" s="1"/>
  <c r="AH103" i="30" s="1"/>
  <c r="AI103" i="30" s="1"/>
  <c r="AJ103" i="30" s="1"/>
  <c r="AK103" i="30" s="1"/>
  <c r="AL103" i="30" s="1"/>
  <c r="AM103" i="30" s="1"/>
  <c r="C94" i="30"/>
  <c r="D94" i="30" s="1"/>
  <c r="E94" i="30" s="1"/>
  <c r="F94" i="30" s="1"/>
  <c r="G94" i="30" s="1"/>
  <c r="H94" i="30" s="1"/>
  <c r="I94" i="30" s="1"/>
  <c r="J94" i="30" s="1"/>
  <c r="K94" i="30" s="1"/>
  <c r="L94" i="30" s="1"/>
  <c r="M94" i="30" s="1"/>
  <c r="N94" i="30" s="1"/>
  <c r="O94" i="30" s="1"/>
  <c r="P94" i="30" s="1"/>
  <c r="Q94" i="30" s="1"/>
  <c r="R94" i="30" s="1"/>
  <c r="S94" i="30" s="1"/>
  <c r="T94" i="30" s="1"/>
  <c r="U94" i="30" s="1"/>
  <c r="V94" i="30" s="1"/>
  <c r="W94" i="30" s="1"/>
  <c r="X94" i="30" s="1"/>
  <c r="Y94" i="30" s="1"/>
  <c r="Z94" i="30" s="1"/>
  <c r="AA94" i="30" s="1"/>
  <c r="AB94" i="30" s="1"/>
  <c r="AC94" i="30" s="1"/>
  <c r="AD94" i="30" s="1"/>
  <c r="AE94" i="30" s="1"/>
  <c r="AF94" i="30" s="1"/>
  <c r="AG94" i="30" s="1"/>
  <c r="AH94" i="30" s="1"/>
  <c r="AI94" i="30" s="1"/>
  <c r="AJ94" i="30" s="1"/>
  <c r="AK94" i="30" s="1"/>
  <c r="AL94" i="30" s="1"/>
  <c r="AM94" i="30" s="1"/>
  <c r="B79" i="30"/>
  <c r="B77" i="30"/>
  <c r="A65" i="30"/>
  <c r="B63" i="30"/>
  <c r="C61" i="30"/>
  <c r="C47" i="30" s="1"/>
  <c r="C64" i="30" s="1"/>
  <c r="B55" i="30"/>
  <c r="B47" i="30"/>
  <c r="B45" i="30"/>
  <c r="B53" i="30" l="1"/>
  <c r="B50" i="30" s="1"/>
  <c r="B62" i="30" s="1"/>
  <c r="B83" i="30" s="1"/>
  <c r="D105" i="30"/>
  <c r="D49" i="30" s="1"/>
  <c r="C49" i="30"/>
  <c r="B46" i="30"/>
  <c r="D61" i="30"/>
  <c r="D47" i="30" s="1"/>
  <c r="D64" i="30" s="1"/>
  <c r="D63" i="30" s="1"/>
  <c r="C63" i="30"/>
  <c r="B88" i="30"/>
  <c r="D88" i="30"/>
  <c r="C88" i="30"/>
  <c r="C77" i="30"/>
  <c r="C55" i="30"/>
  <c r="E109" i="30"/>
  <c r="F109" i="30"/>
  <c r="B69" i="30" l="1"/>
  <c r="B71" i="30" s="1"/>
  <c r="E105" i="30"/>
  <c r="E49" i="30" s="1"/>
  <c r="F76" i="30"/>
  <c r="F88" i="30" s="1"/>
  <c r="E76" i="30"/>
  <c r="E88" i="30" s="1"/>
  <c r="D55" i="30"/>
  <c r="D77" i="30"/>
  <c r="E61" i="30"/>
  <c r="E47" i="30" s="1"/>
  <c r="E64" i="30" s="1"/>
  <c r="E63" i="30" s="1"/>
  <c r="G108" i="30"/>
  <c r="G109" i="30" s="1"/>
  <c r="B78" i="30"/>
  <c r="F105" i="30" l="1"/>
  <c r="F49" i="30" s="1"/>
  <c r="G76" i="30"/>
  <c r="G88" i="30" s="1"/>
  <c r="E77" i="30"/>
  <c r="F61" i="30"/>
  <c r="F47" i="30" s="1"/>
  <c r="E55" i="30"/>
  <c r="H108" i="30"/>
  <c r="H109" i="30" s="1"/>
  <c r="G105" i="30" l="1"/>
  <c r="G49" i="30" s="1"/>
  <c r="F77" i="30"/>
  <c r="H76" i="30"/>
  <c r="H88" i="30" s="1"/>
  <c r="G61" i="30"/>
  <c r="H61" i="30" s="1"/>
  <c r="F55" i="30"/>
  <c r="I108" i="30"/>
  <c r="H105" i="30"/>
  <c r="H49" i="30" s="1"/>
  <c r="G77" i="30" l="1"/>
  <c r="G55" i="30"/>
  <c r="G47" i="30"/>
  <c r="H77" i="30"/>
  <c r="I61" i="30"/>
  <c r="H55" i="30"/>
  <c r="H47" i="30"/>
  <c r="J108" i="30"/>
  <c r="J109" i="30" s="1"/>
  <c r="I109" i="30"/>
  <c r="I105" i="30"/>
  <c r="I49" i="30" s="1"/>
  <c r="I76" i="30" l="1"/>
  <c r="I88" i="30" s="1"/>
  <c r="J76" i="30"/>
  <c r="J88" i="30" s="1"/>
  <c r="J105" i="30"/>
  <c r="J49" i="30" s="1"/>
  <c r="K108" i="30"/>
  <c r="K109" i="30" s="1"/>
  <c r="I77" i="30"/>
  <c r="I47" i="30"/>
  <c r="I55" i="30"/>
  <c r="J61" i="30"/>
  <c r="K76" i="30" l="1"/>
  <c r="K88" i="30" s="1"/>
  <c r="L108" i="30"/>
  <c r="L109" i="30" s="1"/>
  <c r="K105" i="30"/>
  <c r="K49" i="30" s="1"/>
  <c r="J55" i="30"/>
  <c r="K61" i="30"/>
  <c r="J77" i="30"/>
  <c r="J47" i="30"/>
  <c r="L76" i="30" l="1"/>
  <c r="L88" i="30" s="1"/>
  <c r="Q104" i="30"/>
  <c r="Q48" i="30" s="1"/>
  <c r="L105" i="30"/>
  <c r="L49" i="30" s="1"/>
  <c r="L61" i="30"/>
  <c r="K77" i="30"/>
  <c r="K47" i="30"/>
  <c r="K55" i="30"/>
  <c r="M108" i="30"/>
  <c r="R104" i="30" l="1"/>
  <c r="R48" i="30" s="1"/>
  <c r="N108" i="30"/>
  <c r="M109" i="30"/>
  <c r="L77" i="30"/>
  <c r="M61" i="30"/>
  <c r="L55" i="30"/>
  <c r="L47" i="30"/>
  <c r="M105" i="30"/>
  <c r="M49" i="30" s="1"/>
  <c r="M76" i="30" l="1"/>
  <c r="M88" i="30" s="1"/>
  <c r="S104" i="30"/>
  <c r="S48" i="30" s="1"/>
  <c r="O108" i="30"/>
  <c r="O109" i="30" s="1"/>
  <c r="N105" i="30"/>
  <c r="N49" i="30" s="1"/>
  <c r="M47" i="30"/>
  <c r="M77" i="30"/>
  <c r="N61" i="30"/>
  <c r="M55" i="30"/>
  <c r="N109" i="30"/>
  <c r="N76" i="30" l="1"/>
  <c r="N88" i="30" s="1"/>
  <c r="O76" i="30"/>
  <c r="O88" i="30" s="1"/>
  <c r="T104" i="30"/>
  <c r="T48" i="30" s="1"/>
  <c r="N77" i="30"/>
  <c r="N55" i="30"/>
  <c r="N47" i="30"/>
  <c r="O61" i="30"/>
  <c r="O105" i="30"/>
  <c r="O49" i="30" s="1"/>
  <c r="P108" i="30"/>
  <c r="P109" i="30" s="1"/>
  <c r="P76" i="30" l="1"/>
  <c r="P88" i="30" s="1"/>
  <c r="U104" i="30"/>
  <c r="U48" i="30" s="1"/>
  <c r="O55" i="30"/>
  <c r="P61" i="30"/>
  <c r="O77" i="30"/>
  <c r="O47" i="30"/>
  <c r="P105" i="30"/>
  <c r="P49" i="30" s="1"/>
  <c r="Q108" i="30"/>
  <c r="Q109" i="30" s="1"/>
  <c r="Q76" i="30" l="1"/>
  <c r="Q88" i="30" s="1"/>
  <c r="V104" i="30"/>
  <c r="V48" i="30" s="1"/>
  <c r="P77" i="30"/>
  <c r="Q61" i="30"/>
  <c r="P55" i="30"/>
  <c r="P47" i="30"/>
  <c r="Q105" i="30"/>
  <c r="Q49" i="30" s="1"/>
  <c r="R108" i="30"/>
  <c r="R109" i="30" s="1"/>
  <c r="R76" i="30" l="1"/>
  <c r="R88" i="30" s="1"/>
  <c r="W104" i="30"/>
  <c r="W48" i="30" s="1"/>
  <c r="R105" i="30"/>
  <c r="R49" i="30" s="1"/>
  <c r="S108" i="30"/>
  <c r="S109" i="30" s="1"/>
  <c r="R61" i="30"/>
  <c r="Q47" i="30"/>
  <c r="Q77" i="30"/>
  <c r="Q55" i="30"/>
  <c r="S76" i="30" l="1"/>
  <c r="S88" i="30" s="1"/>
  <c r="X104" i="30"/>
  <c r="X48" i="30" s="1"/>
  <c r="S105" i="30"/>
  <c r="S49" i="30" s="1"/>
  <c r="R77" i="30"/>
  <c r="R55" i="30"/>
  <c r="S61" i="30"/>
  <c r="R47" i="30"/>
  <c r="T108" i="30"/>
  <c r="T109" i="30" s="1"/>
  <c r="T76" i="30" l="1"/>
  <c r="T88" i="30" s="1"/>
  <c r="Y104" i="30"/>
  <c r="Y48" i="30" s="1"/>
  <c r="S77" i="30"/>
  <c r="S55" i="30"/>
  <c r="T61" i="30"/>
  <c r="S47" i="30"/>
  <c r="U108" i="30"/>
  <c r="T105" i="30"/>
  <c r="T49" i="30" s="1"/>
  <c r="Z104" i="30" l="1"/>
  <c r="Z48" i="30" s="1"/>
  <c r="V108" i="30"/>
  <c r="U109" i="30"/>
  <c r="U105" i="30"/>
  <c r="U49" i="30" s="1"/>
  <c r="T77" i="30"/>
  <c r="U61" i="30"/>
  <c r="T55" i="30"/>
  <c r="T47" i="30"/>
  <c r="U76" i="30" l="1"/>
  <c r="U88" i="30" s="1"/>
  <c r="AA104" i="30"/>
  <c r="AA48" i="30" s="1"/>
  <c r="U55" i="30"/>
  <c r="U47" i="30"/>
  <c r="V61" i="30"/>
  <c r="U77" i="30"/>
  <c r="W108" i="30"/>
  <c r="V105" i="30"/>
  <c r="V49" i="30" s="1"/>
  <c r="V109" i="30"/>
  <c r="V76" i="30" l="1"/>
  <c r="V88" i="30" s="1"/>
  <c r="AB104" i="30"/>
  <c r="AB48" i="30" s="1"/>
  <c r="W61" i="30"/>
  <c r="V77" i="30"/>
  <c r="V47" i="30"/>
  <c r="V55" i="30"/>
  <c r="W105" i="30"/>
  <c r="W49" i="30" s="1"/>
  <c r="X108" i="30"/>
  <c r="X109" i="30" s="1"/>
  <c r="W109" i="30"/>
  <c r="X76" i="30" l="1"/>
  <c r="X88" i="30" s="1"/>
  <c r="W76" i="30"/>
  <c r="W88" i="30" s="1"/>
  <c r="AC104" i="30"/>
  <c r="AC48" i="30" s="1"/>
  <c r="Y108" i="30"/>
  <c r="W77" i="30"/>
  <c r="X61" i="30"/>
  <c r="W55" i="30"/>
  <c r="W47" i="30"/>
  <c r="X105" i="30"/>
  <c r="X49" i="30" s="1"/>
  <c r="AD104" i="30" l="1"/>
  <c r="AD48" i="30" s="1"/>
  <c r="Z108" i="30"/>
  <c r="X77" i="30"/>
  <c r="Y61" i="30"/>
  <c r="X55" i="30"/>
  <c r="X47" i="30"/>
  <c r="Y109" i="30"/>
  <c r="Y105" i="30"/>
  <c r="Y49" i="30" s="1"/>
  <c r="Y76" i="30" l="1"/>
  <c r="Y88" i="30" s="1"/>
  <c r="AE104" i="30"/>
  <c r="AE48" i="30" s="1"/>
  <c r="AA108" i="30"/>
  <c r="AA109" i="30" s="1"/>
  <c r="Z105" i="30"/>
  <c r="Z49" i="30" s="1"/>
  <c r="Y77" i="30"/>
  <c r="Y47" i="30"/>
  <c r="Y55" i="30"/>
  <c r="Z61" i="30"/>
  <c r="Z109" i="30"/>
  <c r="AA76" i="30" l="1"/>
  <c r="AA88" i="30" s="1"/>
  <c r="Z76" i="30"/>
  <c r="Z88" i="30" s="1"/>
  <c r="AF104" i="30"/>
  <c r="AF48" i="30" s="1"/>
  <c r="AA105" i="30"/>
  <c r="AA49" i="30" s="1"/>
  <c r="AB108" i="30"/>
  <c r="AB109" i="30" s="1"/>
  <c r="Z55" i="30"/>
  <c r="AA61" i="30"/>
  <c r="Z77" i="30"/>
  <c r="Z47" i="30"/>
  <c r="AB76" i="30" l="1"/>
  <c r="AB88" i="30" s="1"/>
  <c r="AG104" i="30"/>
  <c r="AG48" i="30" s="1"/>
  <c r="AC108" i="30"/>
  <c r="AB61" i="30"/>
  <c r="AA77" i="30"/>
  <c r="AA55" i="30"/>
  <c r="AA47" i="30"/>
  <c r="AB105" i="30"/>
  <c r="AB49" i="30" s="1"/>
  <c r="AH104" i="30" l="1"/>
  <c r="AH48" i="30" s="1"/>
  <c r="AC105" i="30"/>
  <c r="AC49" i="30" s="1"/>
  <c r="AB77" i="30"/>
  <c r="AC61" i="30"/>
  <c r="AB55" i="30"/>
  <c r="AB47" i="30"/>
  <c r="AD108" i="30"/>
  <c r="AC109" i="30"/>
  <c r="AC76" i="30" l="1"/>
  <c r="AC88" i="30" s="1"/>
  <c r="AI104" i="30"/>
  <c r="AI48" i="30" s="1"/>
  <c r="AD105" i="30"/>
  <c r="AD49" i="30" s="1"/>
  <c r="AC47" i="30"/>
  <c r="AC77" i="30"/>
  <c r="AC55" i="30"/>
  <c r="AD61" i="30"/>
  <c r="AE108" i="30"/>
  <c r="AE109" i="30" s="1"/>
  <c r="AD109" i="30"/>
  <c r="AE76" i="30" l="1"/>
  <c r="AE88" i="30" s="1"/>
  <c r="AD76" i="30"/>
  <c r="AD88" i="30" s="1"/>
  <c r="AJ104" i="30"/>
  <c r="AJ48" i="30" s="1"/>
  <c r="AE105" i="30"/>
  <c r="AE49" i="30" s="1"/>
  <c r="AF108" i="30"/>
  <c r="AD77" i="30"/>
  <c r="AD55" i="30"/>
  <c r="AD47" i="30"/>
  <c r="AE61" i="30"/>
  <c r="AK104" i="30" l="1"/>
  <c r="AK48" i="30" s="1"/>
  <c r="AE55" i="30"/>
  <c r="AF61" i="30"/>
  <c r="AE77" i="30"/>
  <c r="AE47" i="30"/>
  <c r="AG108" i="30"/>
  <c r="AF109" i="30"/>
  <c r="AF105" i="30"/>
  <c r="AF49" i="30" s="1"/>
  <c r="AF76" i="30" l="1"/>
  <c r="AF88" i="30" s="1"/>
  <c r="AL104" i="30"/>
  <c r="AL48" i="30" s="1"/>
  <c r="AH108" i="30"/>
  <c r="AG105" i="30"/>
  <c r="AG49" i="30" s="1"/>
  <c r="AF77" i="30"/>
  <c r="AG61" i="30"/>
  <c r="AF55" i="30"/>
  <c r="AF47" i="30"/>
  <c r="AG109" i="30"/>
  <c r="AG76" i="30" l="1"/>
  <c r="AG88" i="30" s="1"/>
  <c r="AM104" i="30"/>
  <c r="AM48" i="30" s="1"/>
  <c r="AI108" i="30"/>
  <c r="AI109" i="30" s="1"/>
  <c r="AH105" i="30"/>
  <c r="AH49" i="30" s="1"/>
  <c r="AH61" i="30"/>
  <c r="AG47" i="30"/>
  <c r="AG77" i="30"/>
  <c r="AG55" i="30"/>
  <c r="AH109" i="30"/>
  <c r="AI76" i="30" l="1"/>
  <c r="AI88" i="30" s="1"/>
  <c r="AH76" i="30"/>
  <c r="AH88" i="30" s="1"/>
  <c r="AH77" i="30"/>
  <c r="AI61" i="30"/>
  <c r="AH55" i="30"/>
  <c r="AH47" i="30"/>
  <c r="AI105" i="30"/>
  <c r="AI49" i="30" s="1"/>
  <c r="AJ108" i="30"/>
  <c r="AJ109" i="30" s="1"/>
  <c r="AJ76" i="30" l="1"/>
  <c r="AJ88" i="30" s="1"/>
  <c r="AK108" i="30"/>
  <c r="AJ105" i="30"/>
  <c r="AJ49" i="30" s="1"/>
  <c r="AI77" i="30"/>
  <c r="AI55" i="30"/>
  <c r="AI47" i="30"/>
  <c r="AJ61" i="30"/>
  <c r="AJ77" i="30" l="1"/>
  <c r="AK61" i="30"/>
  <c r="AJ55" i="30"/>
  <c r="AJ47" i="30"/>
  <c r="AK105" i="30"/>
  <c r="AK49" i="30" s="1"/>
  <c r="AL108" i="30"/>
  <c r="AL109" i="30" s="1"/>
  <c r="AK109" i="30"/>
  <c r="AL76" i="30" l="1"/>
  <c r="AL88" i="30" s="1"/>
  <c r="AK76" i="30"/>
  <c r="AK88" i="30" s="1"/>
  <c r="AK55" i="30"/>
  <c r="AK47" i="30"/>
  <c r="AL61" i="30"/>
  <c r="AK77" i="30"/>
  <c r="AM108" i="30"/>
  <c r="AM109" i="30" s="1"/>
  <c r="AL105" i="30"/>
  <c r="AL49" i="30" s="1"/>
  <c r="AM76" i="30" l="1"/>
  <c r="AM88" i="30" s="1"/>
  <c r="AM61" i="30"/>
  <c r="AL77" i="30"/>
  <c r="AL47" i="30"/>
  <c r="AL55" i="30"/>
  <c r="AM105" i="30"/>
  <c r="AM49" i="30" s="1"/>
  <c r="AM77" i="30" l="1"/>
  <c r="AM55" i="30"/>
  <c r="AM47" i="30"/>
  <c r="C51" i="30" l="1"/>
  <c r="D51" i="30" l="1"/>
  <c r="D50" i="30" s="1"/>
  <c r="D62" i="30" s="1"/>
  <c r="C50" i="30"/>
  <c r="C62" i="30" s="1"/>
  <c r="E51" i="30" l="1"/>
  <c r="C83" i="30"/>
  <c r="C69" i="30"/>
  <c r="D83" i="30"/>
  <c r="D69" i="30"/>
  <c r="B29" i="30"/>
  <c r="F51" i="30" l="1"/>
  <c r="E50" i="30"/>
  <c r="E62" i="30" s="1"/>
  <c r="F64" i="30"/>
  <c r="G64" i="30"/>
  <c r="H64" i="30"/>
  <c r="I64" i="30"/>
  <c r="B57" i="30"/>
  <c r="E83" i="30" l="1"/>
  <c r="E69" i="30"/>
  <c r="G51" i="30"/>
  <c r="F50" i="30"/>
  <c r="F62" i="30" s="1"/>
  <c r="F83" i="30" s="1"/>
  <c r="B58" i="30"/>
  <c r="B59" i="30" s="1"/>
  <c r="B72" i="30" s="1"/>
  <c r="H51" i="30" l="1"/>
  <c r="G50" i="30"/>
  <c r="G62" i="30" s="1"/>
  <c r="G83" i="30" s="1"/>
  <c r="B128" i="23"/>
  <c r="B85" i="30"/>
  <c r="C56" i="30"/>
  <c r="C58" i="30" s="1"/>
  <c r="B80" i="30"/>
  <c r="B73" i="30"/>
  <c r="C57" i="27" l="1"/>
  <c r="C50" i="27" s="1"/>
  <c r="I51" i="30"/>
  <c r="H50" i="30"/>
  <c r="H62" i="30" s="1"/>
  <c r="H83" i="30" s="1"/>
  <c r="B74" i="30"/>
  <c r="B75" i="30" s="1"/>
  <c r="C85" i="30"/>
  <c r="C59" i="30"/>
  <c r="C72" i="30" s="1"/>
  <c r="D56" i="30"/>
  <c r="D58" i="30" s="1"/>
  <c r="I50" i="30" l="1"/>
  <c r="J51" i="30"/>
  <c r="K51" i="30" s="1"/>
  <c r="L51" i="30" s="1"/>
  <c r="M51" i="30" s="1"/>
  <c r="N51" i="30" s="1"/>
  <c r="O51" i="30" s="1"/>
  <c r="P51" i="30" s="1"/>
  <c r="Q51" i="30" s="1"/>
  <c r="R51" i="30" s="1"/>
  <c r="S51" i="30" s="1"/>
  <c r="T51" i="30" s="1"/>
  <c r="U51" i="30" s="1"/>
  <c r="V51" i="30" s="1"/>
  <c r="W51" i="30" s="1"/>
  <c r="X51" i="30" s="1"/>
  <c r="Y51" i="30" s="1"/>
  <c r="Z51" i="30" s="1"/>
  <c r="AA51" i="30" s="1"/>
  <c r="AB51" i="30" s="1"/>
  <c r="AC51" i="30" s="1"/>
  <c r="AD51" i="30" s="1"/>
  <c r="AE51" i="30" s="1"/>
  <c r="AF51" i="30" s="1"/>
  <c r="AG51" i="30" s="1"/>
  <c r="AH51" i="30" s="1"/>
  <c r="AI51" i="30" s="1"/>
  <c r="AJ51" i="30" s="1"/>
  <c r="AK51" i="30" s="1"/>
  <c r="AL51" i="30" s="1"/>
  <c r="AM51" i="30" s="1"/>
  <c r="C80" i="30"/>
  <c r="E56" i="30"/>
  <c r="D85" i="30"/>
  <c r="D59" i="30"/>
  <c r="D72" i="30" s="1"/>
  <c r="B81" i="30"/>
  <c r="J50" i="30" l="1"/>
  <c r="I62" i="30"/>
  <c r="I83" i="30" s="1"/>
  <c r="E58" i="30"/>
  <c r="F56" i="30" s="1"/>
  <c r="F58" i="30" s="1"/>
  <c r="D80" i="30"/>
  <c r="K50" i="30" l="1"/>
  <c r="J62" i="30"/>
  <c r="J83" i="30" s="1"/>
  <c r="G56" i="30"/>
  <c r="G58" i="30" s="1"/>
  <c r="F85" i="30"/>
  <c r="F59" i="30"/>
  <c r="F72" i="30" s="1"/>
  <c r="E59" i="30"/>
  <c r="E72" i="30" s="1"/>
  <c r="E85" i="30"/>
  <c r="B130" i="23"/>
  <c r="L50" i="30" l="1"/>
  <c r="K62" i="30"/>
  <c r="K83" i="30" s="1"/>
  <c r="E80" i="30"/>
  <c r="H56" i="30"/>
  <c r="H58" i="30" s="1"/>
  <c r="G85" i="30"/>
  <c r="G59" i="30"/>
  <c r="G72" i="30" s="1"/>
  <c r="F80" i="30"/>
  <c r="M50" i="30" l="1"/>
  <c r="L62" i="30"/>
  <c r="L83" i="30" s="1"/>
  <c r="I56" i="30"/>
  <c r="I58" i="30" s="1"/>
  <c r="H85" i="30"/>
  <c r="H59" i="30"/>
  <c r="H72" i="30" s="1"/>
  <c r="G80" i="30"/>
  <c r="I70" i="30"/>
  <c r="I79" i="30" s="1"/>
  <c r="N50" i="30" l="1"/>
  <c r="M62" i="30"/>
  <c r="M83" i="30" s="1"/>
  <c r="J70" i="30"/>
  <c r="D70" i="30"/>
  <c r="G70" i="30"/>
  <c r="G79" i="30" s="1"/>
  <c r="H70" i="30"/>
  <c r="H79" i="30" s="1"/>
  <c r="F70" i="30"/>
  <c r="E70" i="30"/>
  <c r="C70" i="30"/>
  <c r="J56" i="30"/>
  <c r="J58" i="30" s="1"/>
  <c r="I59" i="30"/>
  <c r="I72" i="30" s="1"/>
  <c r="I85" i="30"/>
  <c r="H80" i="30"/>
  <c r="O50" i="30" l="1"/>
  <c r="N62" i="30"/>
  <c r="N83" i="30" s="1"/>
  <c r="C79" i="30"/>
  <c r="C71" i="30"/>
  <c r="F79" i="30"/>
  <c r="E71" i="30"/>
  <c r="E79" i="30"/>
  <c r="D79" i="30"/>
  <c r="D71" i="30"/>
  <c r="K70" i="30"/>
  <c r="J79" i="30"/>
  <c r="K56" i="30"/>
  <c r="K58" i="30" s="1"/>
  <c r="J59" i="30"/>
  <c r="J72" i="30" s="1"/>
  <c r="J85" i="30"/>
  <c r="I80" i="30"/>
  <c r="P50" i="30" l="1"/>
  <c r="O62" i="30"/>
  <c r="O83" i="30" s="1"/>
  <c r="B113" i="23"/>
  <c r="B115" i="23"/>
  <c r="L70" i="30"/>
  <c r="K79" i="30"/>
  <c r="E78" i="30"/>
  <c r="E73" i="30"/>
  <c r="C78" i="30"/>
  <c r="C73" i="30"/>
  <c r="C74" i="30" s="1"/>
  <c r="D78" i="30"/>
  <c r="D73" i="30"/>
  <c r="J80" i="30"/>
  <c r="L56" i="30"/>
  <c r="L58" i="30" s="1"/>
  <c r="K85" i="30"/>
  <c r="K59" i="30"/>
  <c r="K72" i="30" s="1"/>
  <c r="Q50" i="30" l="1"/>
  <c r="P62" i="30"/>
  <c r="P83" i="30" s="1"/>
  <c r="E74" i="30"/>
  <c r="E75" i="30" s="1"/>
  <c r="C75" i="30"/>
  <c r="C81" i="30"/>
  <c r="D74" i="30"/>
  <c r="L79" i="30"/>
  <c r="M70" i="30"/>
  <c r="G63" i="30"/>
  <c r="G69" i="30" s="1"/>
  <c r="G71" i="30" s="1"/>
  <c r="H63" i="30"/>
  <c r="H69" i="30" s="1"/>
  <c r="H71" i="30" s="1"/>
  <c r="I63" i="30"/>
  <c r="I69" i="30" s="1"/>
  <c r="I71" i="30" s="1"/>
  <c r="J64" i="30"/>
  <c r="J63" i="30" s="1"/>
  <c r="J69" i="30" s="1"/>
  <c r="J71" i="30" s="1"/>
  <c r="K64" i="30"/>
  <c r="K63" i="30" s="1"/>
  <c r="K69" i="30" s="1"/>
  <c r="K71" i="30" s="1"/>
  <c r="K78" i="30" s="1"/>
  <c r="L64" i="30"/>
  <c r="L63" i="30" s="1"/>
  <c r="L69" i="30" s="1"/>
  <c r="L71" i="30" s="1"/>
  <c r="L78" i="30" s="1"/>
  <c r="M64" i="30"/>
  <c r="M63" i="30" s="1"/>
  <c r="M69" i="30" s="1"/>
  <c r="N64" i="30"/>
  <c r="N63" i="30" s="1"/>
  <c r="N69" i="30" s="1"/>
  <c r="O64" i="30"/>
  <c r="O63" i="30" s="1"/>
  <c r="O69" i="30" s="1"/>
  <c r="P64" i="30"/>
  <c r="P63" i="30" s="1"/>
  <c r="P69" i="30" s="1"/>
  <c r="Q64" i="30"/>
  <c r="Q63" i="30" s="1"/>
  <c r="R64" i="30"/>
  <c r="R63" i="30" s="1"/>
  <c r="S64" i="30"/>
  <c r="S63" i="30" s="1"/>
  <c r="T64" i="30"/>
  <c r="T63" i="30" s="1"/>
  <c r="U64" i="30"/>
  <c r="U63" i="30" s="1"/>
  <c r="V64" i="30"/>
  <c r="V63" i="30" s="1"/>
  <c r="W64" i="30"/>
  <c r="W63" i="30" s="1"/>
  <c r="X64" i="30"/>
  <c r="X63" i="30" s="1"/>
  <c r="Y64" i="30"/>
  <c r="Y63" i="30" s="1"/>
  <c r="Z64" i="30"/>
  <c r="Z63" i="30" s="1"/>
  <c r="AA64" i="30"/>
  <c r="AA63" i="30" s="1"/>
  <c r="AB64" i="30"/>
  <c r="AB63" i="30" s="1"/>
  <c r="AC64" i="30"/>
  <c r="AC63" i="30" s="1"/>
  <c r="AD64" i="30"/>
  <c r="AD63" i="30" s="1"/>
  <c r="AE64" i="30"/>
  <c r="AE63" i="30" s="1"/>
  <c r="AF64" i="30"/>
  <c r="AF63" i="30" s="1"/>
  <c r="AG64" i="30"/>
  <c r="AG63" i="30" s="1"/>
  <c r="AH64" i="30"/>
  <c r="AH63" i="30" s="1"/>
  <c r="AI64" i="30"/>
  <c r="AI63" i="30" s="1"/>
  <c r="AJ64" i="30"/>
  <c r="AJ63" i="30" s="1"/>
  <c r="AK64" i="30"/>
  <c r="AK63" i="30" s="1"/>
  <c r="AL64" i="30"/>
  <c r="AL63" i="30" s="1"/>
  <c r="AM64" i="30"/>
  <c r="AM63" i="30" s="1"/>
  <c r="M56" i="30"/>
  <c r="L85" i="30"/>
  <c r="L59" i="30"/>
  <c r="L72" i="30" s="1"/>
  <c r="K80" i="30"/>
  <c r="R50" i="30" l="1"/>
  <c r="Q62" i="30"/>
  <c r="Q83" i="30" s="1"/>
  <c r="M71" i="30"/>
  <c r="M78" i="30" s="1"/>
  <c r="D81" i="30"/>
  <c r="E81" i="30" s="1"/>
  <c r="D75" i="30"/>
  <c r="N70" i="30"/>
  <c r="N71" i="30" s="1"/>
  <c r="N78" i="30" s="1"/>
  <c r="M79" i="30"/>
  <c r="G78" i="30"/>
  <c r="G73" i="30"/>
  <c r="G74" i="30" s="1"/>
  <c r="G75" i="30" s="1"/>
  <c r="K73" i="30"/>
  <c r="K74" i="30" s="1"/>
  <c r="K75" i="30" s="1"/>
  <c r="I78" i="30"/>
  <c r="I73" i="30"/>
  <c r="I74" i="30" s="1"/>
  <c r="I75" i="30" s="1"/>
  <c r="J78" i="30"/>
  <c r="J73" i="30"/>
  <c r="F63" i="30"/>
  <c r="F69" i="30" s="1"/>
  <c r="F71" i="30" s="1"/>
  <c r="H78" i="30"/>
  <c r="H73" i="30"/>
  <c r="L80" i="30"/>
  <c r="L73" i="30"/>
  <c r="M58" i="30"/>
  <c r="N56" i="30" s="1"/>
  <c r="N58" i="30" s="1"/>
  <c r="S50" i="30" l="1"/>
  <c r="R62" i="30"/>
  <c r="Q69" i="30"/>
  <c r="N79" i="30"/>
  <c r="O70" i="30"/>
  <c r="F78" i="30"/>
  <c r="F73" i="30"/>
  <c r="F74" i="30" s="1"/>
  <c r="H74" i="30"/>
  <c r="J74" i="30"/>
  <c r="J75" i="30" s="1"/>
  <c r="O56" i="30"/>
  <c r="O58" i="30" s="1"/>
  <c r="N59" i="30"/>
  <c r="N72" i="30" s="1"/>
  <c r="N85" i="30"/>
  <c r="M59" i="30"/>
  <c r="M72" i="30" s="1"/>
  <c r="M85" i="30"/>
  <c r="L74" i="30"/>
  <c r="L75" i="30" s="1"/>
  <c r="A5" i="23"/>
  <c r="R83" i="30" l="1"/>
  <c r="R69" i="30"/>
  <c r="T50" i="30"/>
  <c r="S62" i="30"/>
  <c r="P70" i="30"/>
  <c r="O79" i="30"/>
  <c r="O71" i="30"/>
  <c r="O78" i="30" s="1"/>
  <c r="H75" i="30"/>
  <c r="F75" i="30"/>
  <c r="F81" i="30"/>
  <c r="M80" i="30"/>
  <c r="M73" i="30"/>
  <c r="N80" i="30"/>
  <c r="N73" i="30"/>
  <c r="P56" i="30"/>
  <c r="O59" i="30"/>
  <c r="O72" i="30" s="1"/>
  <c r="O85" i="30"/>
  <c r="S83" i="30" l="1"/>
  <c r="S69" i="30"/>
  <c r="U50" i="30"/>
  <c r="T62" i="30"/>
  <c r="P79" i="30"/>
  <c r="P71" i="30"/>
  <c r="P78" i="30" s="1"/>
  <c r="Q70" i="30"/>
  <c r="G81" i="30"/>
  <c r="O80" i="30"/>
  <c r="O73" i="30"/>
  <c r="P58" i="30"/>
  <c r="Q56" i="30" s="1"/>
  <c r="M74" i="30"/>
  <c r="M75" i="30" s="1"/>
  <c r="N74" i="30"/>
  <c r="N75" i="30" s="1"/>
  <c r="T83" i="30" l="1"/>
  <c r="T69" i="30"/>
  <c r="V50" i="30"/>
  <c r="U62" i="30"/>
  <c r="R70" i="30"/>
  <c r="Q79" i="30"/>
  <c r="Q71" i="30"/>
  <c r="Q78" i="30" s="1"/>
  <c r="H81" i="30"/>
  <c r="I81" i="30" s="1"/>
  <c r="J81" i="30" s="1"/>
  <c r="O74" i="30"/>
  <c r="Q58" i="30"/>
  <c r="R56" i="30" s="1"/>
  <c r="R58" i="30" s="1"/>
  <c r="P85" i="30"/>
  <c r="P59" i="30"/>
  <c r="P72" i="30" s="1"/>
  <c r="U83" i="30" l="1"/>
  <c r="U69" i="30"/>
  <c r="W50" i="30"/>
  <c r="V62" i="30"/>
  <c r="S70" i="30"/>
  <c r="R79" i="30"/>
  <c r="R71" i="30"/>
  <c r="R78" i="30" s="1"/>
  <c r="K81" i="30"/>
  <c r="L81" i="30" s="1"/>
  <c r="M81" i="30" s="1"/>
  <c r="S56" i="30"/>
  <c r="S58" i="30" s="1"/>
  <c r="R85" i="30"/>
  <c r="R59" i="30"/>
  <c r="R72" i="30" s="1"/>
  <c r="Q59" i="30"/>
  <c r="Q72" i="30" s="1"/>
  <c r="Q85" i="30"/>
  <c r="P80" i="30"/>
  <c r="P73" i="30"/>
  <c r="O75" i="30"/>
  <c r="B30" i="23"/>
  <c r="B91" i="23" s="1"/>
  <c r="V83" i="30" l="1"/>
  <c r="V69" i="30"/>
  <c r="X50" i="30"/>
  <c r="W62" i="30"/>
  <c r="S71" i="30"/>
  <c r="S78" i="30" s="1"/>
  <c r="T70" i="30"/>
  <c r="S79" i="30"/>
  <c r="N81" i="30"/>
  <c r="O81" i="30" s="1"/>
  <c r="P74" i="30"/>
  <c r="T56" i="30"/>
  <c r="S59" i="30"/>
  <c r="S72" i="30" s="1"/>
  <c r="S85" i="30"/>
  <c r="R80" i="30"/>
  <c r="R73" i="30"/>
  <c r="Q80" i="30"/>
  <c r="Q73" i="30"/>
  <c r="A8" i="17"/>
  <c r="E9" i="14"/>
  <c r="W83" i="30" l="1"/>
  <c r="W69" i="30"/>
  <c r="Y50" i="30"/>
  <c r="X62" i="30"/>
  <c r="T71" i="30"/>
  <c r="T78" i="30" s="1"/>
  <c r="U70" i="30"/>
  <c r="T79" i="30"/>
  <c r="P81" i="30"/>
  <c r="P75" i="30"/>
  <c r="S80" i="30"/>
  <c r="S73" i="30"/>
  <c r="T58" i="30"/>
  <c r="Q74" i="30"/>
  <c r="Q75" i="30" s="1"/>
  <c r="R74" i="30"/>
  <c r="A15" i="23"/>
  <c r="B21" i="23" s="1"/>
  <c r="A12" i="23"/>
  <c r="A9" i="23"/>
  <c r="X83" i="30" l="1"/>
  <c r="X69" i="30"/>
  <c r="Z50" i="30"/>
  <c r="Y62" i="30"/>
  <c r="U71" i="30"/>
  <c r="U78" i="30" s="1"/>
  <c r="U79" i="30"/>
  <c r="V70" i="30"/>
  <c r="Q81" i="30"/>
  <c r="R81" i="30" s="1"/>
  <c r="T85" i="30"/>
  <c r="T59" i="30"/>
  <c r="T72" i="30" s="1"/>
  <c r="S74" i="30"/>
  <c r="R75" i="30"/>
  <c r="U56" i="30"/>
  <c r="U58" i="30" s="1"/>
  <c r="A14" i="12"/>
  <c r="Y83" i="30" l="1"/>
  <c r="Y69" i="30"/>
  <c r="AA50" i="30"/>
  <c r="Z62" i="30"/>
  <c r="V79" i="30"/>
  <c r="W70" i="30"/>
  <c r="V71" i="30"/>
  <c r="V78" i="30" s="1"/>
  <c r="S81" i="30"/>
  <c r="S75" i="30"/>
  <c r="V56" i="30"/>
  <c r="V58" i="30" s="1"/>
  <c r="U59" i="30"/>
  <c r="U72" i="30" s="1"/>
  <c r="U85" i="30"/>
  <c r="T80" i="30"/>
  <c r="T73" i="30"/>
  <c r="A15" i="5"/>
  <c r="A12" i="5"/>
  <c r="A9" i="5"/>
  <c r="A5" i="5"/>
  <c r="A15" i="16"/>
  <c r="A12" i="16"/>
  <c r="A9" i="16"/>
  <c r="A4" i="17"/>
  <c r="A14" i="17"/>
  <c r="A11" i="17"/>
  <c r="A6" i="13"/>
  <c r="A5" i="14"/>
  <c r="A4" i="12"/>
  <c r="A5" i="16" s="1"/>
  <c r="A5" i="6"/>
  <c r="A15" i="6"/>
  <c r="A12" i="6"/>
  <c r="A9" i="6"/>
  <c r="E15" i="14"/>
  <c r="E12" i="14"/>
  <c r="A16" i="13"/>
  <c r="A13" i="13"/>
  <c r="A10" i="13"/>
  <c r="A11" i="12"/>
  <c r="A8" i="12"/>
  <c r="Z83" i="30" l="1"/>
  <c r="Z69" i="30"/>
  <c r="AB50" i="30"/>
  <c r="AA62" i="30"/>
  <c r="W79" i="30"/>
  <c r="W71" i="30"/>
  <c r="W78" i="30" s="1"/>
  <c r="X70" i="30"/>
  <c r="U80" i="30"/>
  <c r="U73" i="30"/>
  <c r="W56" i="30"/>
  <c r="V85" i="30"/>
  <c r="V59" i="30"/>
  <c r="V72" i="30" s="1"/>
  <c r="T74" i="30"/>
  <c r="T81" i="30"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A83" i="30" l="1"/>
  <c r="AA69" i="30"/>
  <c r="AC50" i="30"/>
  <c r="AB62" i="30"/>
  <c r="Y70" i="30"/>
  <c r="X79" i="30"/>
  <c r="X71" i="30"/>
  <c r="X78" i="30" s="1"/>
  <c r="U74" i="30"/>
  <c r="U81" i="30" s="1"/>
  <c r="V80" i="30"/>
  <c r="V73" i="30"/>
  <c r="T75" i="30"/>
  <c r="W58" i="30"/>
  <c r="AB83" i="30" l="1"/>
  <c r="AB69" i="30"/>
  <c r="AD50" i="30"/>
  <c r="AC62" i="30"/>
  <c r="Z70" i="30"/>
  <c r="Y79" i="30"/>
  <c r="Y71" i="30"/>
  <c r="Y78" i="30" s="1"/>
  <c r="U75" i="30"/>
  <c r="W85" i="30"/>
  <c r="W59" i="30"/>
  <c r="W72" i="30" s="1"/>
  <c r="V74" i="30"/>
  <c r="V81" i="30" s="1"/>
  <c r="X56" i="30"/>
  <c r="AE50" i="30" l="1"/>
  <c r="AD62" i="30"/>
  <c r="AC83" i="30"/>
  <c r="AC69" i="30"/>
  <c r="Z71" i="30"/>
  <c r="Z78" i="30" s="1"/>
  <c r="AA70" i="30"/>
  <c r="Z79" i="30"/>
  <c r="V75" i="30"/>
  <c r="W80" i="30"/>
  <c r="W73" i="30"/>
  <c r="X58" i="30"/>
  <c r="Y56" i="30" s="1"/>
  <c r="Y58" i="30" s="1"/>
  <c r="AD83" i="30" l="1"/>
  <c r="AD69" i="30"/>
  <c r="AF50" i="30"/>
  <c r="AE62" i="30"/>
  <c r="AB70" i="30"/>
  <c r="AA79" i="30"/>
  <c r="AA71" i="30"/>
  <c r="AA78" i="30" s="1"/>
  <c r="Z56" i="30"/>
  <c r="Z58" i="30" s="1"/>
  <c r="Y59" i="30"/>
  <c r="Y72" i="30" s="1"/>
  <c r="Y85" i="30"/>
  <c r="X85" i="30"/>
  <c r="X59" i="30"/>
  <c r="X72" i="30" s="1"/>
  <c r="W74" i="30"/>
  <c r="W81" i="30" s="1"/>
  <c r="AE83" i="30" l="1"/>
  <c r="AE69" i="30"/>
  <c r="AG50" i="30"/>
  <c r="AF62" i="30"/>
  <c r="AC70" i="30"/>
  <c r="AB79" i="30"/>
  <c r="AB71" i="30"/>
  <c r="AB78" i="30" s="1"/>
  <c r="Y80" i="30"/>
  <c r="Y73" i="30"/>
  <c r="W75" i="30"/>
  <c r="X80" i="30"/>
  <c r="X73" i="30"/>
  <c r="AA56" i="30"/>
  <c r="AA58" i="30" s="1"/>
  <c r="Z85" i="30"/>
  <c r="Z59" i="30"/>
  <c r="Z72" i="30" s="1"/>
  <c r="AF83" i="30" l="1"/>
  <c r="AF69" i="30"/>
  <c r="AH50" i="30"/>
  <c r="AG62" i="30"/>
  <c r="AC79" i="30"/>
  <c r="AD70" i="30"/>
  <c r="AC71" i="30"/>
  <c r="AC78" i="30" s="1"/>
  <c r="Z80" i="30"/>
  <c r="Z73" i="30"/>
  <c r="X74" i="30"/>
  <c r="X81" i="30" s="1"/>
  <c r="AB56" i="30"/>
  <c r="AA59" i="30"/>
  <c r="AA72" i="30" s="1"/>
  <c r="AA85" i="30"/>
  <c r="Y74" i="30"/>
  <c r="AG83" i="30" l="1"/>
  <c r="AG69" i="30"/>
  <c r="AI50" i="30"/>
  <c r="AH62" i="30"/>
  <c r="AD79" i="30"/>
  <c r="AE70" i="30"/>
  <c r="AD71" i="30"/>
  <c r="AD78" i="30" s="1"/>
  <c r="Y81" i="30"/>
  <c r="X75" i="30"/>
  <c r="Y75" i="30"/>
  <c r="AA80" i="30"/>
  <c r="AA73" i="30"/>
  <c r="AB58" i="30"/>
  <c r="AC56" i="30" s="1"/>
  <c r="AC58" i="30" s="1"/>
  <c r="Z74" i="30"/>
  <c r="AH83" i="30" l="1"/>
  <c r="AH69" i="30"/>
  <c r="AJ50" i="30"/>
  <c r="AI62" i="30"/>
  <c r="AE79" i="30"/>
  <c r="AF70" i="30"/>
  <c r="AE71" i="30"/>
  <c r="AE78" i="30" s="1"/>
  <c r="Z81" i="30"/>
  <c r="Z75" i="30"/>
  <c r="AD56" i="30"/>
  <c r="AD58" i="30" s="1"/>
  <c r="AC85" i="30"/>
  <c r="AC59" i="30"/>
  <c r="AC72" i="30" s="1"/>
  <c r="AB85" i="30"/>
  <c r="AB59" i="30"/>
  <c r="AB72" i="30" s="1"/>
  <c r="AA74" i="30"/>
  <c r="AI83" i="30" l="1"/>
  <c r="AI69" i="30"/>
  <c r="AK50" i="30"/>
  <c r="AJ62" i="30"/>
  <c r="AF79" i="30"/>
  <c r="AF71" i="30"/>
  <c r="AF78" i="30" s="1"/>
  <c r="AG70" i="30"/>
  <c r="AA81" i="30"/>
  <c r="AA75" i="30"/>
  <c r="AC80" i="30"/>
  <c r="AC73" i="30"/>
  <c r="AB80" i="30"/>
  <c r="AB73" i="30"/>
  <c r="AE56" i="30"/>
  <c r="AE58" i="30" s="1"/>
  <c r="AD59" i="30"/>
  <c r="AD72" i="30" s="1"/>
  <c r="AD85" i="30"/>
  <c r="AJ83" i="30" l="1"/>
  <c r="AJ69" i="30"/>
  <c r="AL50" i="30"/>
  <c r="AK62" i="30"/>
  <c r="AG71" i="30"/>
  <c r="AG78" i="30" s="1"/>
  <c r="AG79" i="30"/>
  <c r="AH70" i="30"/>
  <c r="AD80" i="30"/>
  <c r="AD73" i="30"/>
  <c r="AB74" i="30"/>
  <c r="AB81" i="30" s="1"/>
  <c r="AF56" i="30"/>
  <c r="AE85" i="30"/>
  <c r="AE59" i="30"/>
  <c r="AE72" i="30" s="1"/>
  <c r="AC74" i="30"/>
  <c r="AC75" i="30" s="1"/>
  <c r="AK83" i="30" l="1"/>
  <c r="AK69" i="30"/>
  <c r="AM50" i="30"/>
  <c r="AM62" i="30" s="1"/>
  <c r="AL62" i="30"/>
  <c r="AI70" i="30"/>
  <c r="AH71" i="30"/>
  <c r="AH78" i="30" s="1"/>
  <c r="AH79" i="30"/>
  <c r="AC81" i="30"/>
  <c r="AB75" i="30"/>
  <c r="AD74" i="30"/>
  <c r="AF58" i="30"/>
  <c r="AG56" i="30" s="1"/>
  <c r="AG58" i="30" s="1"/>
  <c r="AE80" i="30"/>
  <c r="AE73" i="30"/>
  <c r="AL83" i="30" l="1"/>
  <c r="AL69" i="30"/>
  <c r="AM83" i="30"/>
  <c r="AM69" i="30"/>
  <c r="AI79" i="30"/>
  <c r="AJ70" i="30"/>
  <c r="AI71" i="30"/>
  <c r="AI78" i="30" s="1"/>
  <c r="AD81" i="30"/>
  <c r="AH56" i="30"/>
  <c r="AH58" i="30" s="1"/>
  <c r="AG85" i="30"/>
  <c r="AG59" i="30"/>
  <c r="AG72" i="30" s="1"/>
  <c r="AE74" i="30"/>
  <c r="AE75" i="30" s="1"/>
  <c r="AF59" i="30"/>
  <c r="AF72" i="30" s="1"/>
  <c r="AF85" i="30"/>
  <c r="AD75" i="30"/>
  <c r="AJ79" i="30" l="1"/>
  <c r="AJ71" i="30"/>
  <c r="AJ78" i="30" s="1"/>
  <c r="AK70" i="30"/>
  <c r="AE81" i="30"/>
  <c r="AG80" i="30"/>
  <c r="AG73" i="30"/>
  <c r="AF80" i="30"/>
  <c r="AF73" i="30"/>
  <c r="AI56" i="30"/>
  <c r="AH59" i="30"/>
  <c r="AH72" i="30" s="1"/>
  <c r="AH85" i="30"/>
  <c r="AL70" i="30" l="1"/>
  <c r="AK79" i="30"/>
  <c r="AK71" i="30"/>
  <c r="AK78" i="30" s="1"/>
  <c r="AH80" i="30"/>
  <c r="AH73" i="30"/>
  <c r="AI58" i="30"/>
  <c r="AJ56" i="30" s="1"/>
  <c r="AG74" i="30"/>
  <c r="AG75" i="30" s="1"/>
  <c r="AF74" i="30"/>
  <c r="AF81" i="30" s="1"/>
  <c r="AL79" i="30" l="1"/>
  <c r="AL71" i="30"/>
  <c r="AL78" i="30" s="1"/>
  <c r="AM70" i="30"/>
  <c r="AF75" i="30"/>
  <c r="AG81" i="30"/>
  <c r="AJ58" i="30"/>
  <c r="AK56" i="30" s="1"/>
  <c r="AK58" i="30" s="1"/>
  <c r="AH74" i="30"/>
  <c r="AI85" i="30"/>
  <c r="AI59" i="30"/>
  <c r="AI72" i="30" s="1"/>
  <c r="AM71" i="30" l="1"/>
  <c r="AM78" i="30" s="1"/>
  <c r="AM79" i="30"/>
  <c r="AH81" i="30"/>
  <c r="AL56" i="30"/>
  <c r="AK59" i="30"/>
  <c r="AK72" i="30" s="1"/>
  <c r="AK85" i="30"/>
  <c r="AJ59" i="30"/>
  <c r="AJ72" i="30" s="1"/>
  <c r="AJ85" i="30"/>
  <c r="AI80" i="30"/>
  <c r="AI73" i="30"/>
  <c r="AH75" i="30"/>
  <c r="AK80" i="30" l="1"/>
  <c r="AK73" i="30"/>
  <c r="AL58" i="30"/>
  <c r="AI74" i="30"/>
  <c r="AI81" i="30" s="1"/>
  <c r="AJ80" i="30"/>
  <c r="AJ73" i="30"/>
  <c r="AL59" i="30" l="1"/>
  <c r="AL72" i="30" s="1"/>
  <c r="AL85" i="30"/>
  <c r="AJ74" i="30"/>
  <c r="AJ81" i="30" s="1"/>
  <c r="AK74" i="30"/>
  <c r="AI75" i="30"/>
  <c r="AM56" i="30"/>
  <c r="AK81" i="30" l="1"/>
  <c r="AJ75" i="30"/>
  <c r="AL80" i="30"/>
  <c r="AL73" i="30"/>
  <c r="AM58" i="30"/>
  <c r="AK75" i="30"/>
  <c r="AM85" i="30" l="1"/>
  <c r="AM59" i="30"/>
  <c r="AM72" i="30" s="1"/>
  <c r="AL74" i="30"/>
  <c r="AL81" i="30" s="1"/>
  <c r="AL75" i="30" l="1"/>
  <c r="AM80" i="30"/>
  <c r="AM73" i="30"/>
  <c r="AM74" i="30" l="1"/>
  <c r="AM81" i="30" s="1"/>
  <c r="AM75" i="30" l="1"/>
  <c r="B82" i="30" l="1"/>
  <c r="C82" i="30" s="1"/>
  <c r="B86" i="30" l="1"/>
  <c r="B91" i="30" s="1"/>
  <c r="D82" i="30"/>
  <c r="C86" i="30"/>
  <c r="B89" i="30" l="1"/>
  <c r="B90" i="30" s="1"/>
  <c r="B93" i="30" s="1"/>
  <c r="B87" i="30"/>
  <c r="B92" i="30" s="1"/>
  <c r="C89" i="30"/>
  <c r="D86" i="30"/>
  <c r="C91" i="30"/>
  <c r="E82" i="30"/>
  <c r="F82" i="30" s="1"/>
  <c r="F86" i="30" s="1"/>
  <c r="F89" i="30" s="1"/>
  <c r="C87" i="30"/>
  <c r="C90" i="30" l="1"/>
  <c r="C93" i="30" s="1"/>
  <c r="C92" i="30"/>
  <c r="D89" i="30"/>
  <c r="D91" i="30"/>
  <c r="D87" i="30"/>
  <c r="D92" i="30" s="1"/>
  <c r="E86" i="30"/>
  <c r="G82" i="30"/>
  <c r="E89" i="30" l="1"/>
  <c r="F90" i="30" s="1"/>
  <c r="F91" i="30"/>
  <c r="D90" i="30"/>
  <c r="D93" i="30" s="1"/>
  <c r="F87" i="30"/>
  <c r="E87" i="30"/>
  <c r="E92" i="30" s="1"/>
  <c r="G86" i="30"/>
  <c r="G91" i="30" s="1"/>
  <c r="H82" i="30"/>
  <c r="E91" i="30"/>
  <c r="F92" i="30" l="1"/>
  <c r="E90" i="30"/>
  <c r="E93" i="30" s="1"/>
  <c r="H86" i="30"/>
  <c r="H87" i="30" s="1"/>
  <c r="I82" i="30"/>
  <c r="J82" i="30" s="1"/>
  <c r="J86" i="30" s="1"/>
  <c r="J89" i="30" s="1"/>
  <c r="G89" i="30"/>
  <c r="G87" i="30"/>
  <c r="G92" i="30" s="1"/>
  <c r="H91" i="30"/>
  <c r="I86" i="30" l="1"/>
  <c r="I91" i="30" s="1"/>
  <c r="H92" i="30"/>
  <c r="G90" i="30"/>
  <c r="G93" i="30" s="1"/>
  <c r="K82" i="30"/>
  <c r="H89" i="30"/>
  <c r="F93" i="30"/>
  <c r="K86" i="30" l="1"/>
  <c r="K87" i="30" s="1"/>
  <c r="I89" i="30"/>
  <c r="I90" i="30" s="1"/>
  <c r="J87" i="30"/>
  <c r="J91" i="30"/>
  <c r="I87" i="30"/>
  <c r="I92" i="30" s="1"/>
  <c r="H90" i="30"/>
  <c r="H93" i="30" s="1"/>
  <c r="L82" i="30"/>
  <c r="L86" i="30" s="1"/>
  <c r="K92" i="30" l="1"/>
  <c r="M82" i="30"/>
  <c r="N82" i="30" s="1"/>
  <c r="I93" i="30"/>
  <c r="L89" i="30"/>
  <c r="L87" i="30"/>
  <c r="L92" i="30" s="1"/>
  <c r="J90" i="30"/>
  <c r="J93" i="30" s="1"/>
  <c r="J92" i="30"/>
  <c r="K89" i="30"/>
  <c r="K91" i="30"/>
  <c r="L91" i="30"/>
  <c r="M86" i="30" l="1"/>
  <c r="M89" i="30" s="1"/>
  <c r="G28" i="30"/>
  <c r="N86" i="30"/>
  <c r="O82" i="30"/>
  <c r="K90" i="30"/>
  <c r="K93" i="30" s="1"/>
  <c r="L90" i="30"/>
  <c r="M87" i="30" l="1"/>
  <c r="M92" i="30" s="1"/>
  <c r="M91" i="30"/>
  <c r="L93" i="30"/>
  <c r="G29" i="30" s="1"/>
  <c r="N89" i="30"/>
  <c r="N90" i="30" s="1"/>
  <c r="N87" i="30"/>
  <c r="N92" i="30" s="1"/>
  <c r="N91" i="30"/>
  <c r="M90" i="30"/>
  <c r="M93" i="30" s="1"/>
  <c r="O86" i="30"/>
  <c r="P82" i="30"/>
  <c r="N93" i="30" l="1"/>
  <c r="O89" i="30"/>
  <c r="O90" i="30" s="1"/>
  <c r="O93" i="30" s="1"/>
  <c r="O87" i="30"/>
  <c r="O92" i="30" s="1"/>
  <c r="O91" i="30"/>
  <c r="P86" i="30"/>
  <c r="Q82" i="30"/>
  <c r="Q86" i="30" l="1"/>
  <c r="R82" i="30"/>
  <c r="P89" i="30"/>
  <c r="P90" i="30" s="1"/>
  <c r="P93" i="30" s="1"/>
  <c r="P91" i="30"/>
  <c r="P87" i="30"/>
  <c r="P92" i="30" s="1"/>
  <c r="R86" i="30" l="1"/>
  <c r="S82" i="30"/>
  <c r="Q89" i="30"/>
  <c r="Q90" i="30" s="1"/>
  <c r="Q93" i="30" s="1"/>
  <c r="Q91" i="30"/>
  <c r="Q87" i="30"/>
  <c r="Q92" i="30" s="1"/>
  <c r="R89" i="30" l="1"/>
  <c r="R90" i="30" s="1"/>
  <c r="R93" i="30" s="1"/>
  <c r="R87" i="30"/>
  <c r="R92" i="30" s="1"/>
  <c r="R91" i="30"/>
  <c r="S86" i="30"/>
  <c r="T82" i="30"/>
  <c r="S89" i="30" l="1"/>
  <c r="S90" i="30" s="1"/>
  <c r="S87" i="30"/>
  <c r="S92" i="30" s="1"/>
  <c r="S91" i="30"/>
  <c r="T86" i="30"/>
  <c r="U82" i="30"/>
  <c r="S93" i="30" l="1"/>
  <c r="G30" i="30"/>
  <c r="U86" i="30"/>
  <c r="V82" i="30"/>
  <c r="T89" i="30"/>
  <c r="T90" i="30" s="1"/>
  <c r="T93" i="30" s="1"/>
  <c r="T87" i="30"/>
  <c r="T92" i="30" s="1"/>
  <c r="T91" i="30"/>
  <c r="V86" i="30" l="1"/>
  <c r="W82" i="30"/>
  <c r="U89" i="30"/>
  <c r="U90" i="30" s="1"/>
  <c r="U93" i="30" s="1"/>
  <c r="U91" i="30"/>
  <c r="U87" i="30"/>
  <c r="U92" i="30" s="1"/>
  <c r="V89" i="30" l="1"/>
  <c r="V90" i="30" s="1"/>
  <c r="V93" i="30" s="1"/>
  <c r="V87" i="30"/>
  <c r="V92" i="30" s="1"/>
  <c r="V91" i="30"/>
  <c r="W86" i="30"/>
  <c r="X82" i="30"/>
  <c r="W89" i="30" l="1"/>
  <c r="W90" i="30" s="1"/>
  <c r="W93" i="30" s="1"/>
  <c r="W87" i="30"/>
  <c r="W92" i="30" s="1"/>
  <c r="W91" i="30"/>
  <c r="X86" i="30"/>
  <c r="Y82" i="30"/>
  <c r="Y86" i="30" l="1"/>
  <c r="Z82" i="30"/>
  <c r="X89" i="30"/>
  <c r="X90" i="30" s="1"/>
  <c r="X93" i="30" s="1"/>
  <c r="X91" i="30"/>
  <c r="X87" i="30"/>
  <c r="X92" i="30" s="1"/>
  <c r="Z86" i="30" l="1"/>
  <c r="AA82" i="30"/>
  <c r="Y89" i="30"/>
  <c r="Y90" i="30" s="1"/>
  <c r="Y93" i="30" s="1"/>
  <c r="Y91" i="30"/>
  <c r="Y87" i="30"/>
  <c r="Y92" i="30" s="1"/>
  <c r="Z89" i="30" l="1"/>
  <c r="Z90" i="30" s="1"/>
  <c r="Z93" i="30" s="1"/>
  <c r="Z87" i="30"/>
  <c r="Z92" i="30" s="1"/>
  <c r="Z91" i="30"/>
  <c r="AA86" i="30"/>
  <c r="AB82" i="30"/>
  <c r="AA89" i="30" l="1"/>
  <c r="AA90" i="30" s="1"/>
  <c r="AA93" i="30" s="1"/>
  <c r="AA87" i="30"/>
  <c r="AA92" i="30" s="1"/>
  <c r="AA91" i="30"/>
  <c r="AB86" i="30"/>
  <c r="AC82" i="30"/>
  <c r="AC86" i="30" l="1"/>
  <c r="AD82" i="30"/>
  <c r="AB89" i="30"/>
  <c r="AB90" i="30" s="1"/>
  <c r="AB93" i="30" s="1"/>
  <c r="AB87" i="30"/>
  <c r="AB92" i="30" s="1"/>
  <c r="AB91" i="30"/>
  <c r="AD86" i="30" l="1"/>
  <c r="AE82" i="30"/>
  <c r="AC89" i="30"/>
  <c r="AC90" i="30" s="1"/>
  <c r="AC93" i="30" s="1"/>
  <c r="AC91" i="30"/>
  <c r="AC87" i="30"/>
  <c r="AC92" i="30" s="1"/>
  <c r="AD89" i="30" l="1"/>
  <c r="AD90" i="30" s="1"/>
  <c r="AD93" i="30" s="1"/>
  <c r="AD87" i="30"/>
  <c r="AD92" i="30" s="1"/>
  <c r="AD91" i="30"/>
  <c r="AE86" i="30"/>
  <c r="AF82" i="30"/>
  <c r="AF86" i="30" l="1"/>
  <c r="AG82" i="30"/>
  <c r="AE89" i="30"/>
  <c r="AE90" i="30" s="1"/>
  <c r="AE93" i="30" s="1"/>
  <c r="AE91" i="30"/>
  <c r="AE87" i="30"/>
  <c r="AE92" i="30" s="1"/>
  <c r="AG86" i="30" l="1"/>
  <c r="AH82" i="30"/>
  <c r="AF89" i="30"/>
  <c r="AF90" i="30" s="1"/>
  <c r="AF93" i="30" s="1"/>
  <c r="AF91" i="30"/>
  <c r="AF87" i="30"/>
  <c r="AF92" i="30" s="1"/>
  <c r="AH86" i="30" l="1"/>
  <c r="AI82" i="30"/>
  <c r="AG89" i="30"/>
  <c r="AG90" i="30" s="1"/>
  <c r="AG93" i="30" s="1"/>
  <c r="AG87" i="30"/>
  <c r="AG92" i="30" s="1"/>
  <c r="AG91" i="30"/>
  <c r="AI86" i="30" l="1"/>
  <c r="AJ82" i="30"/>
  <c r="AH89" i="30"/>
  <c r="AH90" i="30" s="1"/>
  <c r="AH93" i="30" s="1"/>
  <c r="AH91" i="30"/>
  <c r="AH87" i="30"/>
  <c r="AH92" i="30" s="1"/>
  <c r="AJ86" i="30" l="1"/>
  <c r="AK82" i="30"/>
  <c r="AI89" i="30"/>
  <c r="AI90" i="30" s="1"/>
  <c r="AI93" i="30" s="1"/>
  <c r="AI87" i="30"/>
  <c r="AI92" i="30" s="1"/>
  <c r="AI91" i="30"/>
  <c r="AK86" i="30" l="1"/>
  <c r="AL82" i="30"/>
  <c r="AJ89" i="30"/>
  <c r="AJ90" i="30" s="1"/>
  <c r="AJ93" i="30" s="1"/>
  <c r="AJ87" i="30"/>
  <c r="AJ92" i="30" s="1"/>
  <c r="AJ91" i="30"/>
  <c r="AL86" i="30" l="1"/>
  <c r="AM82" i="30"/>
  <c r="AK89" i="30"/>
  <c r="AK90" i="30" s="1"/>
  <c r="AK93" i="30" s="1"/>
  <c r="AK91" i="30"/>
  <c r="AK87" i="30"/>
  <c r="AK92" i="30" s="1"/>
  <c r="AM86" i="30" l="1"/>
  <c r="AL89" i="30"/>
  <c r="AL90" i="30" s="1"/>
  <c r="AL93" i="30" s="1"/>
  <c r="AL87" i="30"/>
  <c r="AL92" i="30" s="1"/>
  <c r="AL91" i="30"/>
  <c r="AM89" i="30" l="1"/>
  <c r="AM90" i="30" s="1"/>
  <c r="AM93" i="30" s="1"/>
  <c r="AM91" i="30"/>
  <c r="AM87" i="30"/>
  <c r="AM92" i="30" s="1"/>
</calcChain>
</file>

<file path=xl/comments1.xml><?xml version="1.0" encoding="utf-8"?>
<comments xmlns="http://schemas.openxmlformats.org/spreadsheetml/2006/main">
  <authors>
    <author>Груздь Надежда Германовна</author>
  </authors>
  <commentList>
    <comment ref="A52" authorId="0" shapeId="0">
      <text>
        <r>
          <rPr>
            <sz val="9"/>
            <color indexed="81"/>
            <rFont val="Tahoma"/>
            <family val="2"/>
            <charset val="204"/>
          </rPr>
          <t>Приказ от 25.12.17 № 116-13Э/17 - 3,06623 руб./кВтч</t>
        </r>
      </text>
    </comment>
  </commentList>
</comments>
</file>

<file path=xl/sharedStrings.xml><?xml version="1.0" encoding="utf-8"?>
<sst xmlns="http://schemas.openxmlformats.org/spreadsheetml/2006/main" count="1332" uniqueCount="768">
  <si>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</si>
  <si>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</si>
  <si>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</si>
  <si>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</si>
  <si>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</si>
  <si>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</si>
  <si>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</si>
  <si>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</si>
  <si>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</si>
  <si>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</si>
  <si>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</si>
  <si>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</si>
  <si>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</si>
  <si>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</si>
  <si>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</si>
  <si>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</si>
  <si>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</si>
  <si>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</si>
  <si>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</si>
  <si>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</si>
  <si>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</si>
  <si>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</si>
  <si>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</si>
  <si>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</si>
  <si>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</si>
  <si>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</si>
  <si>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</si>
  <si>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</si>
  <si>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</si>
  <si>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</si>
  <si>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</si>
  <si>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</si>
  <si>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</si>
  <si>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</si>
  <si>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</si>
  <si>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</si>
  <si>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</si>
  <si>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</si>
  <si>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</si>
  <si>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</si>
  <si>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</si>
  <si>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</si>
  <si>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</si>
  <si>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</si>
  <si>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</si>
  <si>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</si>
  <si>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</si>
  <si>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</si>
  <si>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</si>
  <si>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</si>
  <si>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</si>
  <si>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</si>
  <si>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</si>
  <si>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</si>
  <si>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</si>
  <si>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</si>
  <si>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</si>
  <si>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</si>
  <si>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</si>
  <si>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</si>
  <si>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</si>
  <si>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</si>
  <si>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</si>
  <si>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</si>
  <si>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</si>
  <si>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</si>
  <si>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</si>
  <si>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</si>
  <si>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</si>
  <si>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</si>
  <si>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</si>
  <si>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</si>
  <si>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</si>
  <si>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</si>
  <si>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</si>
  <si>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</si>
  <si>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</si>
  <si>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</si>
  <si>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</si>
  <si>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</si>
  <si>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</si>
  <si>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</si>
  <si>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</si>
  <si>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Реквизиты договора 2</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</si>
  <si>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</si>
  <si>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</si>
  <si>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</si>
  <si>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</si>
  <si>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</si>
  <si>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</si>
  <si>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</si>
  <si>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</si>
  <si>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</si>
  <si>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</si>
  <si>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</si>
  <si>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</si>
  <si>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</si>
  <si>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</si>
  <si>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</si>
  <si>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</si>
  <si>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</si>
  <si>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</si>
  <si>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</si>
  <si>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</si>
  <si>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</si>
  <si>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</si>
  <si>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</si>
  <si>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</si>
  <si>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</si>
  <si>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</si>
  <si>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</si>
  <si>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</si>
  <si>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</si>
  <si>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</si>
  <si>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</si>
  <si>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</si>
  <si>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</si>
  <si>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</si>
  <si>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</si>
  <si>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</si>
  <si>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</si>
  <si>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</si>
  <si>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</si>
  <si>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</si>
  <si>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</si>
  <si>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</si>
  <si>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</si>
  <si>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</si>
  <si>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</si>
  <si>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</si>
  <si>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</si>
  <si>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</si>
  <si>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</si>
  <si>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</si>
  <si>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</si>
  <si>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</si>
  <si>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</si>
  <si>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</si>
  <si>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</si>
  <si>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</si>
  <si>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</si>
  <si>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</si>
  <si>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</si>
  <si>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</si>
  <si>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</si>
  <si>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</si>
  <si>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</si>
  <si>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</si>
  <si>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</si>
  <si>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</si>
  <si>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</si>
  <si>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</si>
  <si>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</si>
  <si>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</si>
  <si>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</si>
  <si>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</si>
  <si>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</si>
  <si>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</si>
  <si>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</si>
  <si>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</si>
  <si>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</si>
  <si>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</si>
  <si>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</si>
  <si>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</si>
  <si>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</si>
  <si>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</si>
  <si>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</si>
  <si>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</si>
  <si>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</si>
  <si>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</si>
  <si>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</si>
  <si>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</si>
  <si>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</si>
  <si>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</si>
  <si>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</si>
  <si>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</si>
  <si>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</si>
  <si>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</si>
  <si>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</si>
  <si>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</si>
  <si>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</si>
  <si>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</si>
  <si>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</si>
  <si>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</si>
  <si>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</si>
  <si>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</si>
  <si>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</si>
  <si>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</si>
  <si>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</si>
  <si>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</si>
  <si>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</si>
  <si>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</si>
  <si>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</si>
  <si>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</si>
  <si>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</si>
  <si>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</si>
  <si>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</si>
  <si>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</si>
  <si>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</si>
  <si>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</si>
  <si>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</si>
  <si>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</si>
  <si>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</si>
  <si>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</si>
  <si>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</si>
  <si>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</si>
  <si>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</si>
  <si>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</si>
  <si>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</si>
  <si>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</si>
  <si>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</si>
  <si>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</si>
  <si>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</si>
  <si>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</si>
  <si>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</si>
  <si>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</si>
  <si>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</si>
  <si>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</si>
  <si>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</si>
  <si>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</si>
  <si>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</si>
  <si>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</si>
  <si>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</si>
  <si>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</si>
  <si>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</si>
  <si>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</si>
  <si>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</si>
  <si>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</si>
  <si>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</si>
  <si>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</si>
  <si>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</si>
  <si>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</si>
  <si>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</si>
  <si>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</si>
  <si>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</si>
  <si>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</si>
  <si>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</si>
  <si>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</si>
  <si>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</si>
  <si>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</si>
  <si>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</si>
  <si>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</si>
  <si>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</si>
  <si>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</si>
  <si>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</si>
  <si>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</si>
  <si>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</si>
  <si>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</si>
  <si>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</si>
  <si>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</si>
  <si>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</si>
  <si>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</si>
  <si>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</si>
  <si>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</si>
  <si>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</si>
  <si>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</si>
  <si>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</si>
  <si>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</si>
  <si>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</si>
  <si>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</si>
  <si>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</si>
  <si>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</si>
  <si>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</si>
  <si>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</si>
  <si>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</si>
  <si>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</si>
  <si>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</si>
  <si>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</si>
  <si>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</si>
  <si>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</si>
  <si>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</si>
  <si>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</si>
  <si>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</si>
  <si>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</si>
  <si>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</si>
  <si>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</si>
  <si>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</si>
  <si>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</si>
  <si>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</si>
  <si>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</si>
  <si>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</si>
  <si>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</si>
  <si>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</si>
  <si>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</si>
  <si>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</si>
  <si>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</si>
  <si>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</si>
  <si>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</si>
  <si>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</si>
  <si>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</si>
  <si>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</si>
  <si>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</si>
  <si>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</si>
  <si>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</si>
  <si>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</si>
  <si>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</si>
  <si>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</si>
  <si>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</si>
  <si>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</si>
  <si>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</si>
  <si>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</si>
  <si>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</si>
  <si>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</si>
  <si>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</si>
  <si>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</si>
  <si>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</si>
  <si>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</si>
  <si>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</si>
  <si>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</si>
  <si>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</si>
  <si>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</si>
  <si>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</si>
  <si>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</si>
  <si>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</si>
  <si>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</si>
  <si>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</si>
  <si>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</si>
  <si>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</si>
  <si>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</si>
  <si>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</si>
  <si>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</si>
  <si>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</si>
  <si>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</si>
  <si>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</si>
  <si>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</si>
  <si>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</si>
  <si>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</si>
  <si>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</si>
  <si>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</si>
  <si>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</si>
  <si>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</si>
  <si>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</si>
  <si>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</si>
  <si>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</si>
  <si>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</si>
  <si>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</si>
  <si>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</si>
  <si>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</si>
  <si>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</si>
  <si>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</si>
  <si>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</si>
  <si>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</si>
  <si>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</si>
  <si>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</si>
  <si>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</si>
  <si>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</si>
  <si>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</si>
  <si>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</si>
  <si>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</si>
  <si>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</si>
  <si>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</si>
  <si>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</si>
  <si>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</si>
  <si>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</si>
  <si>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</si>
  <si>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</si>
  <si>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</si>
  <si>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</si>
  <si>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</si>
  <si>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</si>
  <si>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</si>
  <si>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</si>
  <si>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</si>
  <si>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</si>
  <si>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</si>
  <si>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</si>
  <si>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</si>
  <si>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</si>
  <si>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</si>
  <si>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</si>
  <si>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</si>
  <si>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</si>
  <si>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</si>
  <si>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</si>
  <si>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</si>
  <si>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</si>
  <si>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</si>
  <si>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</si>
  <si>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</si>
  <si>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</si>
  <si>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</si>
  <si>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</si>
  <si>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</si>
  <si>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</si>
  <si>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</si>
  <si>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</si>
  <si>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</si>
  <si>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</si>
  <si>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</si>
  <si>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</si>
  <si>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</si>
  <si>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</si>
  <si>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</si>
  <si>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</si>
  <si>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</si>
  <si>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</si>
  <si>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</si>
  <si>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</si>
  <si>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</si>
  <si>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</si>
  <si>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</si>
  <si>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</si>
  <si>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</si>
  <si>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</si>
  <si>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</si>
  <si>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</si>
  <si>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</si>
  <si>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</si>
  <si>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</si>
  <si>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</si>
  <si>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</si>
  <si>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</si>
  <si>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</si>
  <si>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</si>
  <si>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</si>
  <si>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</si>
  <si>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</si>
  <si>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</si>
  <si>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</si>
  <si>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</si>
  <si>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</si>
  <si>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</si>
  <si>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</si>
  <si>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</si>
  <si>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</si>
  <si>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</si>
  <si>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</si>
  <si>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</si>
  <si>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</si>
  <si>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</si>
  <si>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</si>
  <si>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</si>
  <si>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</si>
  <si>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</si>
  <si>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</si>
  <si>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</si>
  <si>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</si>
  <si>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</si>
  <si>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</si>
  <si>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</si>
  <si>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</si>
  <si>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</si>
  <si>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</si>
  <si>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</si>
  <si>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</si>
  <si>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</si>
  <si>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</si>
  <si>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</si>
  <si>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</si>
  <si>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</si>
  <si>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</si>
  <si>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</si>
  <si>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</si>
  <si>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</si>
  <si>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</si>
  <si>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</si>
  <si>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</si>
  <si>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</si>
  <si>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</si>
  <si>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</si>
  <si>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</si>
  <si>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</si>
  <si>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</si>
  <si>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</si>
  <si>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</si>
  <si>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</si>
  <si>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</si>
  <si>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</si>
  <si>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</si>
  <si>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</si>
  <si>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</si>
  <si>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</si>
  <si>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</si>
  <si>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</si>
  <si>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</si>
  <si>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</si>
  <si>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</si>
  <si>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</si>
  <si>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</si>
  <si>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</si>
  <si>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</si>
  <si>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</si>
  <si>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</si>
  <si>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</si>
  <si>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</si>
  <si>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</si>
  <si>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</si>
  <si>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</si>
  <si>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</si>
  <si>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</si>
  <si>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</si>
  <si>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</si>
  <si>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</si>
  <si>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</si>
  <si>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</si>
  <si>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</si>
  <si>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</si>
  <si>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</si>
  <si>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</si>
  <si>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</si>
  <si>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</si>
  <si>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</si>
  <si>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</si>
  <si>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</si>
  <si>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</si>
  <si>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</si>
  <si>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</si>
  <si>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</si>
  <si>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</si>
  <si>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</si>
  <si>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</si>
  <si>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</si>
  <si>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</si>
  <si>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</si>
  <si>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</si>
  <si>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</si>
  <si>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</si>
  <si>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</si>
  <si>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</si>
  <si>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</si>
  <si>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</si>
  <si>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</si>
  <si>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</si>
  <si>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</si>
  <si>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Удельные стоимостные показатели реализации инвестиционного проекта,тыс.руб.</t>
  </si>
  <si>
    <t>нет</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</si>
  <si>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</si>
  <si>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</si>
  <si>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</si>
  <si>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</si>
  <si>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</si>
  <si>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</si>
  <si>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</si>
  <si>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</si>
  <si>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</si>
  <si>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</si>
  <si>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</si>
  <si>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</si>
  <si>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</si>
  <si>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F_48-НН</t>
  </si>
  <si>
    <t>Акционерное общество "Янтарьэнерго" ДЗО  ПАО "Россети"</t>
  </si>
  <si>
    <t>Установка приборов учета, класс напряжения 0,22 (0,4) кВ</t>
  </si>
  <si>
    <t>нд</t>
  </si>
  <si>
    <t>модернизация</t>
  </si>
  <si>
    <t>Цели (указать укрупненные цели в соответствии с приложением 1)</t>
  </si>
  <si>
    <t>не относится</t>
  </si>
  <si>
    <t>Предложение по корректировке утвержденного плана</t>
  </si>
  <si>
    <t xml:space="preserve">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 класс напряжения 0,22 (0,4) кВ в количестве </t>
  </si>
  <si>
    <t>СМР, ПНР, Опытная эксплуатация, Промышленная эксплуатация</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</si>
  <si>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</si>
  <si>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объем снижения потерь кВТ/ч</t>
  </si>
  <si>
    <t>средневзвешеннаястоимость покупки потерь руб .кВт/ч</t>
  </si>
  <si>
    <t>Год</t>
  </si>
  <si>
    <t>Наименование РЭС</t>
  </si>
  <si>
    <t>КЛ/ВЛ</t>
  </si>
  <si>
    <t>Потери, тыс.кВтч</t>
  </si>
  <si>
    <t>Потери, %</t>
  </si>
  <si>
    <t>Прогноз, тыс.кВтч</t>
  </si>
  <si>
    <t>Прогноз, %</t>
  </si>
  <si>
    <t>Эффект, тыс.кВтч</t>
  </si>
  <si>
    <t>1ф ПУ</t>
  </si>
  <si>
    <t>3ф прям. вкл.</t>
  </si>
  <si>
    <t>3ф полукосвен. вкл. (ТТ)</t>
  </si>
  <si>
    <t>УСПД на ТП (КТП),                15/0,4 кВ</t>
  </si>
  <si>
    <t>Кол-во приборов учета, шт.</t>
  </si>
  <si>
    <t>Адрес установки
(ТП, нас. пункт)</t>
  </si>
  <si>
    <t>Гвардейский РЭС</t>
  </si>
  <si>
    <t>15-24</t>
  </si>
  <si>
    <t>15-249</t>
  </si>
  <si>
    <t>Гурьевский РЭС</t>
  </si>
  <si>
    <t>Светлогорский РЭС</t>
  </si>
  <si>
    <t>15-231</t>
  </si>
  <si>
    <t>Зеленоградский РЭС</t>
  </si>
  <si>
    <t>Всего за 2019 г.</t>
  </si>
  <si>
    <t>Советский РЭС</t>
  </si>
  <si>
    <t>Озёрский РЭС</t>
  </si>
  <si>
    <t>15-402</t>
  </si>
  <si>
    <t>15-404</t>
  </si>
  <si>
    <t>15-405</t>
  </si>
  <si>
    <t>Нестеровский РЭС</t>
  </si>
  <si>
    <t>15-452</t>
  </si>
  <si>
    <t>15-120</t>
  </si>
  <si>
    <t>Светловский РЭС</t>
  </si>
  <si>
    <t>Всего за 2020 г.</t>
  </si>
  <si>
    <t>10-1,10-19,10-5,10-6,10-7,10-8 Морское; 10-10,10-11,10-12,10-13,10-14,10-15,10-16,10-2,10-3,10-4,10-6,10-9,10-18 Рыбачий; 10-17 Хвойное</t>
  </si>
  <si>
    <t>Всего за 2021 г.</t>
  </si>
  <si>
    <t>средняя стоимость одной точки учета (тыс.руб)</t>
  </si>
  <si>
    <t>Налог на имущество</t>
  </si>
  <si>
    <t xml:space="preserve">средневзвешенный тариф на передачу руб .кВт/ч </t>
  </si>
  <si>
    <t>Мероприятия по установке приборов учета электроэнергии на границе балансовой принадлежности с потребителями (коммерческий учет) направлены на снижение потерь электроэнергии.</t>
  </si>
  <si>
    <t>Организация интеллектуальной системы учета электроэнергии (приобретение компонентов интеллектуальной системы учета, выполнение проектных, строительно-монтажных и пусконаладочных работ по модернизации / созданию интеллектуальной системы учета электроэнергии)</t>
  </si>
  <si>
    <t>Большаковский РЭС</t>
  </si>
  <si>
    <t>15-371</t>
  </si>
  <si>
    <t>ТП 71-07 п.Десантное</t>
  </si>
  <si>
    <t>Озерский РЭС</t>
  </si>
  <si>
    <t>ТП 04-01 Львовское, ТП 04-02 Отрадное, ТП 04-03 Рассошанка, ТП 04-04 Ульяновка, ТП 04-05 Опотенское, ТП 04-06 Олехово, ТП 04-09 Пограничное, ТП 04-11 Алешкино, ТП 04-13 Жигулево, ТП 04-23 Ильино, ТП 04-27 Заозерное, ТП 04-28, ТП 04-29 Богдановка, ТП 04-32 Пограничное, ТП 04-39 Отрадное, ТП 04-40 Олехово, ТП 04-42, ТП 04-45 Олехово, ТП 04-53 Олехово, ТП 04-55, В-77 Олехово</t>
  </si>
  <si>
    <t>ТП 05-01 Новостроево, ТП 05-03 Нагорное, ТП 05-05 Рубиновка, ТП 05-07 Новостроево, ТП 05-08 М. Дубрава, ТП 05-19 Новостроево, ТП 05-21 Львовское, ТП 05-23 Новостроево, ТП 05-30 в/ч 49289 аб., ТП 05-31 Львовское</t>
  </si>
  <si>
    <t>ТП 52-01 Свободное, ТП 52-03, ТП 52-04 Чернышевское, ТП 52-06 в/ч, ТП 52-07, ТП 52-13 Пригородное, ТП 52-14, ТП 52-15 Чернышевское, ТП 52-16, ТП 52-17 Пригородное, ТП 52-18, ТП 52-22,  52-23, 52-24, 52-25, 52-28</t>
  </si>
  <si>
    <t>ТП 176-1, 176-10, 176-11, 176-12, 176-13, ТП 176-2 Светлогорск, ТП 176-3 Пионерский, ТП 176-4 Рыбное, ТП 176-7 Светлогорск, ТП 176-8, ТП 176-9</t>
  </si>
  <si>
    <t>15-106 (ТП 107-6)</t>
  </si>
  <si>
    <t>ТП 107-6 УМП ЖК п. Колосовка аб</t>
  </si>
  <si>
    <t>15-106 (ТП 107-9)</t>
  </si>
  <si>
    <t>ТП 107-9 Денисов аб.</t>
  </si>
  <si>
    <t>15-93</t>
  </si>
  <si>
    <t>ТП 31-3, 93-1, 93-2, 93-3, 93-7, 93-8, 93-12, 93-13, 93-14, 93-15</t>
  </si>
  <si>
    <t>Всего в 2014 г.</t>
  </si>
  <si>
    <t>Всего в 2015 г.</t>
  </si>
  <si>
    <t>Всего в 2016 г.</t>
  </si>
  <si>
    <t>Всего в 2017 г.</t>
  </si>
  <si>
    <t>Всего в 2018 г.</t>
  </si>
  <si>
    <t>Итого за 2014 - 2021 гг</t>
  </si>
  <si>
    <t>Черняховский РЭС</t>
  </si>
  <si>
    <t>Филиал ГЭС</t>
  </si>
  <si>
    <t>Неманский РЭС</t>
  </si>
  <si>
    <t>Славский РЭС</t>
  </si>
  <si>
    <t>Правдинский РЭС</t>
  </si>
  <si>
    <t>ВРУ МКД г. Черняховск</t>
  </si>
  <si>
    <t>ВРУ МКД г. Калининград</t>
  </si>
  <si>
    <t>ВРУ МКД г. Озерск</t>
  </si>
  <si>
    <t>ВРУ МКД г. Гурьевск</t>
  </si>
  <si>
    <t>ВРУ МКД г. Неман</t>
  </si>
  <si>
    <t>ВРУ МКД г. Нестеров</t>
  </si>
  <si>
    <t>ВРУ МКД г. Светлый</t>
  </si>
  <si>
    <t>ВРУ МКД г. Славск</t>
  </si>
  <si>
    <t>ВРУ МКД г. Советск</t>
  </si>
  <si>
    <t>ВРУ МКД г. Правдинск</t>
  </si>
  <si>
    <t>15-211</t>
  </si>
  <si>
    <t>ВРУ МКД г. Гвардейск</t>
  </si>
  <si>
    <t>в ВЩУ по Правдинскому РЭС</t>
  </si>
  <si>
    <t>15-406</t>
  </si>
  <si>
    <t>15-53</t>
  </si>
  <si>
    <t>15-318</t>
  </si>
  <si>
    <t>в ВЩУ бытовых абонентов Гурьевского РЭС</t>
  </si>
  <si>
    <t>на границе балансовой принадлежности сетей АО "Янтарьэнерго" Нестеровского РЭС</t>
  </si>
  <si>
    <t>на границе балансовой принадлежности сетей АО "Янтарьэнерго" Неманского РЭС</t>
  </si>
  <si>
    <t>ПИР, СМР с поставкой оборудования по объекту «Установка систем коммерческого и технического учета электроэнергии с удаленной передачей данных на границе балансовой принадлежности сетей ОАО «Янтарьэнерго» в 2015-2016 годах.</t>
  </si>
  <si>
    <t>ОАО "Янтарьэнерго"</t>
  </si>
  <si>
    <t>ПСД</t>
  </si>
  <si>
    <t>ВЗ</t>
  </si>
  <si>
    <t>ООК</t>
  </si>
  <si>
    <t>b2b-mrsk</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</si>
  <si>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Снижение потерь электроэнергии в электрических сетях.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</si>
  <si>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Затраты на установку, млн рублей</t>
  </si>
  <si>
    <t>Сметная стоимость проекта в ценах 2020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</si>
  <si>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</si>
  <si>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</si>
  <si>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</si>
  <si>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</si>
  <si>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</si>
  <si>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r>
      <t>другое</t>
    </r>
    <r>
      <rPr>
        <vertAlign val="superscript"/>
        <sz val="12"/>
        <rFont val="Times New Roman"/>
        <family val="1"/>
        <charset val="204"/>
      </rPr>
      <t>3)</t>
    </r>
    <r>
      <rPr>
        <sz val="12"/>
        <rFont val="Times New Roman"/>
        <family val="1"/>
        <charset val="204"/>
      </rPr>
      <t>, точки учета</t>
    </r>
  </si>
  <si>
    <t>другое, точки учета</t>
  </si>
  <si>
    <t>ввод</t>
  </si>
  <si>
    <t>ГП</t>
  </si>
  <si>
    <t>"Янтарьэнерго" АО Отдел экспл.систем учета</t>
  </si>
  <si>
    <t>мониторинг цен</t>
  </si>
  <si>
    <t xml:space="preserve"> ВЗ</t>
  </si>
  <si>
    <t>ОК</t>
  </si>
  <si>
    <t>"Энергомера" АО</t>
  </si>
  <si>
    <t xml:space="preserve"> 31907806556 </t>
  </si>
  <si>
    <t xml:space="preserve">https://rosseti.roseltorg.ru/ </t>
  </si>
  <si>
    <t>"СТЭ" ООО</t>
  </si>
  <si>
    <t>ООО "Наратай Энерджи"</t>
  </si>
  <si>
    <t>"НПП "ИСТОК" ИМ.ШОКИНА" АО</t>
  </si>
  <si>
    <t>Гвардейский</t>
  </si>
  <si>
    <t>15-123</t>
  </si>
  <si>
    <t>Гвардейский городской округ ТП 123-01,123-03,123-04,123-05,123-06,123-07,123-08,300-01,300-05,300-06,300-09,300-10,300-19, В-64,В-72</t>
  </si>
  <si>
    <t>Гурьевский</t>
  </si>
  <si>
    <t>15-22</t>
  </si>
  <si>
    <t>Гурьевский городской округ ТП 225-1,22-10,22-12,22-13,22-18,22-20,22-8</t>
  </si>
  <si>
    <t>15-141</t>
  </si>
  <si>
    <t>Гурьевский городской округ ТП 141-1,141-10,141-11,141-12,141-13,141-14,141-15,141-18,141-3,141-5,141-9</t>
  </si>
  <si>
    <t>Зеленоградский</t>
  </si>
  <si>
    <t>15-328</t>
  </si>
  <si>
    <t>Зеленоградский городской округ ТП 157-2,328-1,328-2,328-3,328-4,328-6,328-9,65-10,65-12,65-14,65-15,65-2,65-3,65-6,65-7,65-9,В-20</t>
  </si>
  <si>
    <t>15-36</t>
  </si>
  <si>
    <t>Зеленоградский городской округ ТП36-1,36-10,36-11,36-12,36-13,36-15,36-17,36-19,36-2,36-20,36-21,36-24,36-28,36-3,36-31,36-35,36-37,36-6</t>
  </si>
  <si>
    <t>Правдинский</t>
  </si>
  <si>
    <t>15-246</t>
  </si>
  <si>
    <t>п.Железнодорожный Правдинского района ТП 216-14,246-01,216-02,216-04,216-05,246-04,216-01,216-07,219-09,216-10,216-12,216-13,216-18,216-19,216-22,2169-24,246-03</t>
  </si>
  <si>
    <t>Итого</t>
  </si>
  <si>
    <t>Гвардейский городской округ ТП 24-6,24-01,24-03,24-04,24-13,24-14,24-5,24-7</t>
  </si>
  <si>
    <t>Гвардейский городской округ ТП 249-1, 249-3,249-4,249-5,249-6,249-17,249-2</t>
  </si>
  <si>
    <t>Гвардейский городской округ ТП 120-1,120-3,120-4</t>
  </si>
  <si>
    <t>15-329</t>
  </si>
  <si>
    <t>Зеленоградский городской округ ТП 328-1,329-1,329-3,55-4,55-5,55-6,55-7</t>
  </si>
  <si>
    <t>Зеленоградский городской округ ТП 36-1,36-2,36-3,36-4,36-6,36-9,36-10,36-11,36-13,36-12,36-21,36-24,36-472,36-43</t>
  </si>
  <si>
    <t>15-138</t>
  </si>
  <si>
    <t>Гурьевский городской округ ТП 138-10,138-6,138-3,138-2,138-1,138-9,138-4,138-11</t>
  </si>
  <si>
    <t>Озерский городской округ ТП 02-01,02-02,02-04,02-07,02-10,02-12,02-13,02-14,02-15,02-18</t>
  </si>
  <si>
    <t>15-325</t>
  </si>
  <si>
    <t>Неманский городской округ ТП 25-12,25-2,25-26,78-01,98-01,98-04,98-05,98-06,98-08,В-78</t>
  </si>
  <si>
    <t xml:space="preserve"> ГЭС</t>
  </si>
  <si>
    <t>ф. 2-32+2-34</t>
  </si>
  <si>
    <t>г. Калининград ТП 429, ТП 437</t>
  </si>
  <si>
    <t>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</si>
  <si>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t>19,75 тыс. руб. без НДС (средняя стоимость одной точки учета)</t>
  </si>
  <si>
    <t>по проекту-аналогу Установка систем коммерческого и технического учета электроэнергии... в 2015-2016г, локальные сметные расчеты, коммерческие предложения</t>
  </si>
  <si>
    <t xml:space="preserve">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Распоряжение ПАО "Россети" от 30.09.2016 № 416р "Об утверждении Методики разработки программ перспективного развития систем учета электроэнергии в ДЗО ПАО «Россети»";  
3. Распоряжение ПАО "Россети" от 06.02.2017 № 45р "Об организации эксплуатации и обслуживания систем учета электроэнергии".
Установка приборов учета электроэнергии требуется для повышения эффективности работы за счет:
1)  достоверности снятия показаний приборов учета;
2)  снижения времени на выявление и устранение причин небаланса электроэнергии, обеспечение дистанционного сбора данных с комплексов учета электроэнергии;
3)  снижения затрат на проведение визуального съема показаний с приборов учета;
4)  снижения влияния «человеческого фактора» на работу прибора учета. 
В 2018 произведена корректировка объёмов установки приборов учёта с 0 до 4 шт - в рамках устранения предписаний Министерства регионального контроля (надзора) Калининградской области (ГЖИ) филиалом ГЭС были установлены 4 коллективных (общедомовых) приборов учёта электроэнергии (ОДПУ) на границах балансовой принадлежности. Копии предписаний ГЖИ прилагаются в доп.материалах.
1. Предписание № ЖК-2/1421/2/9903-вх/АДА от 27.07.2018;
2. Предписание № ЖК-2/1223/АДА/2314-о от 03.07.2018;
3. Предписание № ЖК-2/1686/КАС/12041-вх от 24.08.2018.
В 2020 произведена корректировка объёмов установки приборов учёта с 2250 до 7816 шт в соответствии с Программой развития интеллектуального учета электроэнергии (ПРИУЭ) </t>
  </si>
  <si>
    <t xml:space="preserve">ООО "Р.В.С." договор под ключ № 784 от  02.09.2014 в ценах 2014 года с НДС, млн рублей </t>
  </si>
  <si>
    <t>Разработка рабочей документации и выполнение строительно-монтажных работ с поставкой оборудования по объекту: «Установка систем технического и коммерческого учета электроэнергии с удаленной передачей данных на границе балансовой принадлежности сетей ОАО «Янтарьэнерго» в 2014 году».</t>
  </si>
  <si>
    <t>Разработка рабочей документации и выполнение строительно-монтажных работ с поставкой оборудования по объекту: «Установка систем технического и коммерческого учета электроэнергии с удаленной передачей данных на границе балансовой принадлежности сетей ОАО «Янтарьэнерго»</t>
  </si>
  <si>
    <t>ООО "Р.В.С."</t>
  </si>
  <si>
    <t xml:space="preserve">ООО "Р.В.С." договор под ключ № 656 от  06.09.2013  в ценах 2013 года с НДС, млн рублей </t>
  </si>
  <si>
    <t>ГР</t>
  </si>
  <si>
    <t>УР</t>
  </si>
  <si>
    <t>ИТФ "Системы и технологии" ЗАО</t>
  </si>
  <si>
    <t>"АКСИОМАТИКА РУС" ООО</t>
  </si>
  <si>
    <t>"ЕВК-Энергострой" ООО</t>
  </si>
  <si>
    <t>"НПО "Энергореновация" ООО</t>
  </si>
  <si>
    <t>ООО "Прософт-Системы"</t>
  </si>
  <si>
    <t>"СИСТЕЛ" ООО</t>
  </si>
  <si>
    <t>"Центр энергоэффективности ИНТЕР РАО ЕЭС" ООО</t>
  </si>
  <si>
    <t>"Энсис Технологии" ООО</t>
  </si>
  <si>
    <t>"Э.ОН КОННЕКТИНГ ЭНЕРДЖИС" ООО</t>
  </si>
  <si>
    <t>"Электротехнические заводы "Энергомера" АО</t>
  </si>
  <si>
    <t>"Энера Инжиниринг" ОАО</t>
  </si>
  <si>
    <t>"Р.В.С." ООО</t>
  </si>
  <si>
    <t>"Эксперт-ПРОЕКТ" ООО</t>
  </si>
  <si>
    <t>"Эльстер Метроника" ООО</t>
  </si>
  <si>
    <t>Э.ОН Коннектинг Энерджис  договор под ключ № 01/2015/06/008 от 22.06.2015, ДС №2 от 16.05.2016 в ценах 2015 года с НДС, млн рублей</t>
  </si>
  <si>
    <t>ДС №2 от 16.05.2016</t>
  </si>
  <si>
    <t>АО "Энергомера" договор под ключ №193872-120299 от 11.06.2019, ДС 1 от 25.12.2019  в ценах 2019 года с НДС, млн рублей</t>
  </si>
  <si>
    <t>ДС 1 от 25.12.2019</t>
  </si>
  <si>
    <t>Проценты по кредиту объем заключенного договора в ценах 2015 года  без НДС, млн рублей</t>
  </si>
  <si>
    <t>СМР хоз.способ в ценах 2014, 2015, 2017 года с НДС, млн рублей</t>
  </si>
  <si>
    <t>Изменение плановых параметров произошло из-за снижения в 2019 году стоимости по факту выполненных работ и увеличения в 2020 году объема выполняемых работ.</t>
  </si>
  <si>
    <t xml:space="preserve"> - незаконтрактованные затраты</t>
  </si>
  <si>
    <t>АО "Энергомера" договор под ключ №197153  от 11.10.2019  в ценах 2019 года с НДС, млн рублей</t>
  </si>
  <si>
    <t>ООО "РЭ-Технологии" № 2020РЭТ02 от 09.01.2020 объем заключенного договора в ценах2020 года с НДС, млн рублей</t>
  </si>
  <si>
    <t>"ЭКСПЕРТ-ПРОЕКТ" ООО</t>
  </si>
  <si>
    <t>"ГК Системы и Технологии" АО</t>
  </si>
  <si>
    <t>"ПСК" ООО</t>
  </si>
  <si>
    <t>1о</t>
  </si>
  <si>
    <t>31908541793</t>
  </si>
  <si>
    <t xml:space="preserve"> 04.02.2020</t>
  </si>
  <si>
    <t>Поставка приборов учёта и каналообразующего оборудования</t>
  </si>
  <si>
    <t>ОК ЕП</t>
  </si>
  <si>
    <t>"РЭ-ТЕХНОЛОГИИ" ООО</t>
  </si>
  <si>
    <t>31908453068</t>
  </si>
  <si>
    <t>Разработка рабочей документации и выполнение строительно-монтажных работ по объекту: "Создание интеллектуальной системы учета электроэнергии АО "Янтарьэнерго" на 6-ти ВЛ 15 кВ"</t>
  </si>
  <si>
    <t>"Производственная строительная компания" ООО</t>
  </si>
  <si>
    <t>31908169997</t>
  </si>
  <si>
    <t>содержание службы заказчика-застройщика в ценах 2014-2020 года с НДС, млн рублей</t>
  </si>
  <si>
    <t>2021</t>
  </si>
  <si>
    <t>Предложения по корректировке плана</t>
  </si>
  <si>
    <t>Факт 2020 года</t>
  </si>
  <si>
    <t>2021 год</t>
  </si>
  <si>
    <t>2022 год</t>
  </si>
  <si>
    <t>2023 год</t>
  </si>
  <si>
    <t xml:space="preserve"> по состоянию на 01.01.2020 года</t>
  </si>
  <si>
    <t xml:space="preserve"> по состоянию на 01.01.2021 года</t>
  </si>
  <si>
    <t xml:space="preserve"> платы за технологическое присоединение</t>
  </si>
  <si>
    <r>
      <t>Другое</t>
    </r>
    <r>
      <rPr>
        <vertAlign val="superscript"/>
        <sz val="12"/>
        <color rgb="FF000000"/>
        <rFont val="Times New Roman"/>
        <family val="1"/>
        <charset val="204"/>
      </rPr>
      <t>3)</t>
    </r>
    <r>
      <rPr>
        <sz val="12"/>
        <color rgb="FF000000"/>
        <rFont val="Times New Roman"/>
        <family val="1"/>
        <charset val="204"/>
      </rPr>
      <t>, шт.</t>
    </r>
  </si>
  <si>
    <r>
      <t>Организация и включение в систему удаленного сбора данных 13047 точек учета на границе балансовой принадлежности с потребителями (46</t>
    </r>
    <r>
      <rPr>
        <i/>
        <sz val="12"/>
        <rFont val="Times New Roman"/>
        <family val="1"/>
        <charset val="204"/>
      </rPr>
      <t xml:space="preserve"> </t>
    </r>
    <r>
      <rPr>
        <sz val="12"/>
        <rFont val="Times New Roman"/>
        <family val="1"/>
        <charset val="204"/>
      </rPr>
      <t xml:space="preserve">питающих фидеров 6-15 кВ). Общее снижение потерь по фидерам реализации проекта на 37,722 млн. кВтч. 
</t>
    </r>
  </si>
  <si>
    <t>СлавскийРЭС</t>
  </si>
  <si>
    <t>свод</t>
  </si>
  <si>
    <t>10-01</t>
  </si>
  <si>
    <t>2014, 2015, 2016, 2017, 2019, 2020</t>
  </si>
  <si>
    <t>Общее снижение потерь по фидерам реализации проекта на 37,722 млн.кВтч;
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∆Подист=80%;
ФОИВ(2018) = 0,11 млн руб.</t>
  </si>
  <si>
    <t>10.01.2014
10.01.2015
10.01.2016
10.01.2017
10.01.2019
10.01.2020</t>
  </si>
  <si>
    <t>31.10.2014
31.10.2015
31.10.2016
31.10.2017
31.10.2019
31.10.2020</t>
  </si>
  <si>
    <t>Принят к бухгалтерскому учету</t>
  </si>
  <si>
    <t>З</t>
  </si>
  <si>
    <r>
      <t>Организация и включение в систему удаленного сбора данных 13047 точек учета на границе балансовой принадлежности с потребителями (46</t>
    </r>
    <r>
      <rPr>
        <i/>
        <sz val="12"/>
        <rFont val="Times New Roman"/>
        <family val="1"/>
        <charset val="204"/>
      </rPr>
      <t xml:space="preserve"> </t>
    </r>
    <r>
      <rPr>
        <sz val="12"/>
        <rFont val="Times New Roman"/>
        <family val="1"/>
        <charset val="204"/>
      </rPr>
      <t>питающих фидеров 6-15 кВ):
2014г.- 985т.у. (8 фидеров), 2015г.- 661т.у. (3 фидера), 2016г.- 1443т.у. (4 фидера), 2017г.-1441т.у.(4 фидера), 2018г.- 4 т.у. (1 фидер), 2019г.- 2059 т.у. (8 фидеров), 2020г.-2538 т.у. (9 фидеров)+ 3748 т.у. (6 фидеров), 2021г. - 168 т.у. (1 фидер).
Общее снижение потерь по фидерам реализации проекта на 37,722 млн.кВтч:
2014г.- 1,787 млн.кВтч, 2015г.- 0 млн.кВтч, 2016г.- 7,143 млн.кВтч, 2017г.- 6,636 млн.кВтч, 2018г.- 0 млн.кВтч, 2019г. - 8,123 млн.кВтч, 2020г. - 14,001 млн.кВтч, 2021г. - 0,032 млн.кВтч.
Детализация в части фидеров 6-15 кВ представлена в приложении 1.</t>
    </r>
  </si>
  <si>
    <t>Год раскрытия информации: 2022 год</t>
  </si>
  <si>
    <t>ООО "Р.В.С." договор под ключ № 656 от  06.09.2013; 
ООО "Р.В.С." договор под ключ № 784 от  02.09.2014; 
Э.ОН Коннектинг Энерджис  договор под ключ № 01/2015/06/008 от 22.06.2015, ДС №2 от 16.05.2016;
АО "Энергомера" договор под ключ №193872-120299 от 11.06.2019, ДС 1 от 25.12.2019;
АО "Энергомера" договор под ключ №197153  от 11.10.2019;
АО "Энергомера" договор под ключ №201044  от 04.02.2020, ДС 1 от 02.04.2021</t>
  </si>
  <si>
    <t>АО "Энергомера" договор под ключ №201044  от 04.02.2020, ДС 1 от 02.04.2021 в ценах 2020 года с НДС, млн рублей</t>
  </si>
  <si>
    <t>Непредвиденные затраты, не вошедшие в проектное решение в ценах 2020 года  без НДС, млн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</si>
</sst>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_ ;\-#,##0.00\ "/>
    <numFmt numFmtId="176" formatCode="_-* #,##0.000\ _₽_-;\-* #,##0.000\ _₽_-;_-* &quot;-&quot;??\ _₽_-;_-@_-"/>
    <numFmt numFmtId="177" formatCode="0.0"/>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u/>
      <sz val="12"/>
      <name val="Times New Roman"/>
      <family val="1"/>
      <charset val="204"/>
    </font>
    <font>
      <b/>
      <u/>
      <sz val="9"/>
      <name val="Times New Roman"/>
      <family val="1"/>
      <charset val="204"/>
    </font>
    <font>
      <vertAlign val="superscript"/>
      <sz val="12"/>
      <name val="Times New Roman"/>
      <family val="1"/>
      <charset val="204"/>
    </font>
    <font>
      <sz val="12"/>
      <color theme="1"/>
      <name val="Arial Narrow"/>
      <family val="2"/>
      <charset val="204"/>
    </font>
    <font>
      <sz val="12"/>
      <color rgb="FF000000"/>
      <name val="Arial Narrow"/>
      <family val="2"/>
      <charset val="204"/>
    </font>
    <font>
      <b/>
      <sz val="12"/>
      <color rgb="FF000000"/>
      <name val="Arial Narrow"/>
      <family val="2"/>
      <charset val="204"/>
    </font>
    <font>
      <b/>
      <sz val="12"/>
      <color theme="1"/>
      <name val="Arial Narrow"/>
      <family val="2"/>
      <charset val="204"/>
    </font>
    <font>
      <sz val="9"/>
      <color indexed="81"/>
      <name val="Tahoma"/>
      <family val="2"/>
      <charset val="204"/>
    </font>
    <font>
      <i/>
      <sz val="12"/>
      <name val="Times New Roman"/>
      <family val="1"/>
      <charset val="204"/>
    </font>
    <font>
      <sz val="12"/>
      <name val="Arial Narrow"/>
      <family val="2"/>
      <charset val="204"/>
    </font>
    <font>
      <sz val="11"/>
      <color rgb="FFFF0000"/>
      <name val="Times New Roman"/>
      <family val="1"/>
      <charset val="204"/>
    </font>
    <font>
      <sz val="12"/>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8" tint="0.59999389629810485"/>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1" fillId="0" borderId="0"/>
  </cellStyleXfs>
  <cellXfs count="56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0"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1" fillId="0" borderId="0" xfId="67" applyFont="1" applyFill="1" applyAlignment="1">
      <alignment horizontal="left" vertical="center"/>
    </xf>
    <xf numFmtId="0" fontId="6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0"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66" fillId="0" borderId="0" xfId="67" applyNumberFormat="1" applyFont="1" applyFill="1" applyBorder="1" applyAlignment="1">
      <alignment horizontal="center" vertical="center"/>
    </xf>
    <xf numFmtId="0" fontId="65"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67" fillId="0" borderId="0" xfId="50" applyFont="1"/>
    <xf numFmtId="174" fontId="7" fillId="0" borderId="0" xfId="67" applyNumberFormat="1" applyFont="1" applyFill="1" applyAlignment="1">
      <alignment vertical="center"/>
    </xf>
    <xf numFmtId="0" fontId="44" fillId="0" borderId="0" xfId="62"/>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0" xfId="62" applyFont="1" applyBorder="1"/>
    <xf numFmtId="0" fontId="7" fillId="0" borderId="0" xfId="67" applyFont="1" applyFill="1" applyBorder="1" applyAlignment="1">
      <alignment vertical="center" wrapText="1"/>
    </xf>
    <xf numFmtId="0" fontId="9" fillId="0" borderId="0" xfId="1" applyFont="1" applyAlignment="1">
      <alignment vertical="center"/>
    </xf>
    <xf numFmtId="0" fontId="40" fillId="24"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9" fillId="0" borderId="0" xfId="2" applyFont="1" applyFill="1" applyAlignment="1">
      <alignment horizontal="center"/>
    </xf>
    <xf numFmtId="0" fontId="49" fillId="0" borderId="0" xfId="1" applyFont="1" applyAlignment="1">
      <alignment vertical="center"/>
    </xf>
    <xf numFmtId="0" fontId="69"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11" fillId="24" borderId="0" xfId="2" applyFont="1" applyFill="1"/>
    <xf numFmtId="14" fontId="11" fillId="0" borderId="1" xfId="2" applyNumberFormat="1" applyFont="1" applyBorder="1" applyAlignment="1">
      <alignment horizontal="center" vertical="center" wrapText="1"/>
    </xf>
    <xf numFmtId="0" fontId="11" fillId="0" borderId="1" xfId="45" applyFont="1" applyFill="1" applyBorder="1" applyAlignment="1">
      <alignment horizontal="lef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7" fillId="0" borderId="1" xfId="1"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4" fontId="40" fillId="24"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3" fontId="36" fillId="0" borderId="10" xfId="67" applyNumberFormat="1" applyFont="1" applyFill="1" applyBorder="1" applyAlignment="1">
      <alignment vertical="center"/>
    </xf>
    <xf numFmtId="3" fontId="36" fillId="0" borderId="47" xfId="67" applyNumberFormat="1" applyFont="1" applyFill="1" applyBorder="1" applyAlignment="1">
      <alignment vertical="center"/>
    </xf>
    <xf numFmtId="0" fontId="7" fillId="0" borderId="28" xfId="67" applyFont="1" applyFill="1" applyBorder="1" applyAlignment="1">
      <alignment vertical="center" wrapText="1"/>
    </xf>
    <xf numFmtId="3" fontId="36" fillId="0" borderId="27" xfId="67" applyNumberFormat="1" applyFont="1" applyFill="1" applyBorder="1" applyAlignment="1">
      <alignment vertical="center"/>
    </xf>
    <xf numFmtId="0" fontId="0" fillId="0" borderId="0" xfId="0" applyBorder="1"/>
    <xf numFmtId="0" fontId="0" fillId="0" borderId="0" xfId="0" applyAlignment="1">
      <alignment horizontal="right"/>
    </xf>
    <xf numFmtId="176" fontId="0" fillId="0" borderId="0" xfId="69" applyNumberFormat="1" applyFont="1"/>
    <xf numFmtId="168" fontId="0" fillId="0" borderId="0" xfId="0" applyNumberFormat="1"/>
    <xf numFmtId="0" fontId="11" fillId="0" borderId="43" xfId="71" applyFont="1" applyBorder="1" applyAlignment="1">
      <alignment vertical="center"/>
    </xf>
    <xf numFmtId="10" fontId="40" fillId="0" borderId="44" xfId="71" applyNumberFormat="1" applyFont="1" applyBorder="1" applyAlignment="1">
      <alignment vertical="center"/>
    </xf>
    <xf numFmtId="4" fontId="36" fillId="0" borderId="48" xfId="67" applyNumberFormat="1" applyFont="1" applyFill="1" applyBorder="1" applyAlignment="1">
      <alignment vertical="center"/>
    </xf>
    <xf numFmtId="4" fontId="36" fillId="0" borderId="47" xfId="67" applyNumberFormat="1" applyFont="1" applyFill="1" applyBorder="1" applyAlignment="1">
      <alignment vertical="center"/>
    </xf>
    <xf numFmtId="0" fontId="47" fillId="0" borderId="49" xfId="1" applyFont="1" applyFill="1" applyBorder="1" applyAlignment="1">
      <alignment horizontal="justify" vertical="center" wrapText="1"/>
    </xf>
    <xf numFmtId="0" fontId="11" fillId="0" borderId="50" xfId="2" applyFont="1" applyFill="1" applyBorder="1" applyAlignment="1">
      <alignment horizontal="justify" vertical="center" wrapText="1"/>
    </xf>
    <xf numFmtId="168" fontId="7" fillId="0" borderId="50" xfId="1" applyNumberFormat="1" applyFont="1" applyBorder="1" applyAlignment="1">
      <alignment horizontal="justify" vertical="center" wrapText="1"/>
    </xf>
    <xf numFmtId="0" fontId="7" fillId="0" borderId="51" xfId="1" applyFont="1" applyBorder="1" applyAlignment="1">
      <alignment horizontal="left" vertical="center" wrapText="1"/>
    </xf>
    <xf numFmtId="0" fontId="7" fillId="0" borderId="50" xfId="1" applyFont="1" applyBorder="1" applyAlignment="1">
      <alignment vertical="center" wrapText="1"/>
    </xf>
    <xf numFmtId="0" fontId="0" fillId="0" borderId="0" xfId="0" applyFill="1"/>
    <xf numFmtId="0" fontId="11" fillId="0" borderId="54" xfId="2" applyFont="1" applyFill="1" applyBorder="1" applyAlignment="1">
      <alignment horizontal="center" vertical="center" wrapText="1"/>
    </xf>
    <xf numFmtId="0" fontId="11" fillId="0" borderId="49" xfId="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2" fillId="0" borderId="0" xfId="0" applyFont="1" applyBorder="1" applyAlignment="1">
      <alignment horizontal="center" vertical="center" wrapText="1"/>
    </xf>
    <xf numFmtId="0" fontId="72" fillId="0" borderId="0" xfId="0" applyFont="1" applyFill="1" applyBorder="1" applyAlignment="1">
      <alignment horizontal="center" vertical="center" wrapText="1"/>
    </xf>
    <xf numFmtId="0" fontId="2" fillId="26" borderId="0" xfId="0" applyFont="1" applyFill="1" applyBorder="1"/>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0" fontId="60" fillId="0" borderId="50" xfId="62" applyFont="1" applyBorder="1" applyAlignment="1">
      <alignment wrapText="1"/>
    </xf>
    <xf numFmtId="0" fontId="60" fillId="0" borderId="50" xfId="62" applyFont="1" applyBorder="1"/>
    <xf numFmtId="0" fontId="60" fillId="25" borderId="50" xfId="62" applyFont="1" applyFill="1" applyBorder="1"/>
    <xf numFmtId="10" fontId="60" fillId="25" borderId="50" xfId="62" applyNumberFormat="1" applyFont="1" applyFill="1" applyBorder="1"/>
    <xf numFmtId="0" fontId="60" fillId="25" borderId="52" xfId="62" applyFont="1" applyFill="1" applyBorder="1"/>
    <xf numFmtId="10" fontId="36" fillId="25" borderId="50" xfId="67" applyNumberFormat="1" applyFont="1" applyFill="1" applyBorder="1" applyAlignment="1">
      <alignment vertical="center"/>
    </xf>
    <xf numFmtId="0" fontId="60" fillId="0" borderId="52" xfId="62" applyFont="1" applyFill="1" applyBorder="1"/>
    <xf numFmtId="10" fontId="60" fillId="0" borderId="52" xfId="62" applyNumberFormat="1" applyFont="1" applyFill="1" applyBorder="1"/>
    <xf numFmtId="3" fontId="7" fillId="25" borderId="50" xfId="67" applyNumberFormat="1" applyFont="1" applyFill="1" applyBorder="1" applyAlignment="1">
      <alignment horizontal="right" vertical="center"/>
    </xf>
    <xf numFmtId="167" fontId="36" fillId="25" borderId="50" xfId="67" applyNumberFormat="1" applyFont="1" applyFill="1" applyBorder="1" applyAlignment="1">
      <alignment horizontal="right" vertical="center"/>
    </xf>
    <xf numFmtId="4" fontId="36" fillId="0" borderId="23" xfId="67" applyNumberFormat="1" applyFont="1" applyFill="1" applyBorder="1" applyAlignment="1">
      <alignment vertical="center"/>
    </xf>
    <xf numFmtId="1" fontId="62" fillId="0" borderId="50" xfId="49" applyNumberFormat="1" applyFont="1" applyBorder="1" applyAlignment="1">
      <alignment horizontal="center" vertical="center"/>
    </xf>
    <xf numFmtId="49" fontId="62" fillId="0" borderId="50" xfId="49" applyNumberFormat="1" applyFont="1" applyBorder="1" applyAlignment="1">
      <alignment horizontal="center" vertical="center"/>
    </xf>
    <xf numFmtId="0" fontId="11" fillId="0" borderId="47" xfId="0" applyFont="1" applyFill="1" applyBorder="1" applyAlignment="1">
      <alignment horizontal="left" vertical="center" wrapText="1"/>
    </xf>
    <xf numFmtId="43" fontId="60" fillId="0" borderId="0" xfId="69" applyFont="1"/>
    <xf numFmtId="43" fontId="60" fillId="0" borderId="0" xfId="62" applyNumberFormat="1" applyFont="1"/>
    <xf numFmtId="0" fontId="7" fillId="0" borderId="55" xfId="1" applyFont="1" applyBorder="1" applyAlignment="1">
      <alignment horizontal="left" vertical="center" wrapText="1"/>
    </xf>
    <xf numFmtId="1" fontId="62" fillId="0" borderId="55" xfId="49" applyNumberFormat="1" applyFont="1" applyBorder="1" applyAlignment="1">
      <alignment horizontal="center" vertical="center"/>
    </xf>
    <xf numFmtId="49" fontId="62" fillId="0" borderId="55" xfId="49" applyNumberFormat="1" applyFont="1" applyBorder="1" applyAlignment="1">
      <alignment horizontal="center" vertical="center"/>
    </xf>
    <xf numFmtId="49" fontId="62" fillId="0" borderId="1" xfId="49" applyNumberFormat="1" applyFont="1" applyBorder="1" applyAlignment="1">
      <alignment horizontal="center" vertical="center" wrapText="1"/>
    </xf>
    <xf numFmtId="1" fontId="62" fillId="0" borderId="1" xfId="49" applyNumberFormat="1" applyFont="1" applyBorder="1" applyAlignment="1">
      <alignment horizontal="center" vertical="center"/>
    </xf>
    <xf numFmtId="49" fontId="62" fillId="0" borderId="1" xfId="49" applyNumberFormat="1" applyFont="1" applyBorder="1" applyAlignment="1">
      <alignment horizontal="center" vertical="center"/>
    </xf>
    <xf numFmtId="167" fontId="62" fillId="0" borderId="1" xfId="49" applyNumberFormat="1" applyFont="1" applyBorder="1" applyAlignment="1">
      <alignment horizontal="center" vertical="center"/>
    </xf>
    <xf numFmtId="14" fontId="62" fillId="0" borderId="1" xfId="49" applyNumberFormat="1" applyFont="1" applyBorder="1" applyAlignment="1">
      <alignment horizontal="center" vertical="center"/>
    </xf>
    <xf numFmtId="0" fontId="62" fillId="0" borderId="0" xfId="49" applyFont="1"/>
    <xf numFmtId="167" fontId="62" fillId="0" borderId="1" xfId="49" applyNumberFormat="1" applyFont="1" applyBorder="1" applyAlignment="1">
      <alignment horizontal="center" vertical="center" wrapText="1"/>
    </xf>
    <xf numFmtId="1" fontId="62" fillId="0" borderId="1" xfId="49" applyNumberFormat="1" applyFont="1" applyBorder="1" applyAlignment="1">
      <alignment horizontal="center" vertical="center" wrapText="1"/>
    </xf>
    <xf numFmtId="14" fontId="62" fillId="0" borderId="1" xfId="49" applyNumberFormat="1" applyFont="1" applyBorder="1" applyAlignment="1">
      <alignment horizontal="center" vertical="center" wrapText="1"/>
    </xf>
    <xf numFmtId="0" fontId="62" fillId="0" borderId="0" xfId="49" applyFont="1" applyAlignment="1">
      <alignment wrapText="1"/>
    </xf>
    <xf numFmtId="49" fontId="62" fillId="0" borderId="55" xfId="49" applyNumberFormat="1" applyFont="1" applyBorder="1" applyAlignment="1">
      <alignment horizontal="center" vertical="center" wrapText="1"/>
    </xf>
    <xf numFmtId="167" fontId="62" fillId="0" borderId="55" xfId="49" applyNumberFormat="1" applyFont="1" applyBorder="1" applyAlignment="1">
      <alignment horizontal="center" vertical="center" wrapText="1"/>
    </xf>
    <xf numFmtId="1" fontId="62" fillId="0" borderId="55" xfId="49" applyNumberFormat="1" applyFont="1" applyBorder="1" applyAlignment="1">
      <alignment horizontal="center" vertical="center" wrapText="1"/>
    </xf>
    <xf numFmtId="14" fontId="62" fillId="0" borderId="55" xfId="49" applyNumberFormat="1" applyFont="1" applyBorder="1" applyAlignment="1">
      <alignment horizontal="center" vertical="center" wrapText="1"/>
    </xf>
    <xf numFmtId="17" fontId="62" fillId="0" borderId="50" xfId="49" applyNumberFormat="1" applyFont="1" applyBorder="1" applyAlignment="1">
      <alignment horizontal="center" vertical="center" wrapText="1"/>
    </xf>
    <xf numFmtId="17" fontId="62" fillId="0" borderId="55" xfId="49" applyNumberFormat="1" applyFont="1" applyBorder="1" applyAlignment="1">
      <alignment horizontal="center" vertical="center" wrapText="1"/>
    </xf>
    <xf numFmtId="17" fontId="62" fillId="0" borderId="55" xfId="49" applyNumberFormat="1" applyFont="1" applyBorder="1" applyAlignment="1">
      <alignment horizontal="center" vertical="center"/>
    </xf>
    <xf numFmtId="0" fontId="62" fillId="0" borderId="55" xfId="49" applyNumberFormat="1" applyFont="1" applyBorder="1" applyAlignment="1">
      <alignment horizontal="center" vertical="center" wrapText="1"/>
    </xf>
    <xf numFmtId="0" fontId="62" fillId="0" borderId="1" xfId="49" applyNumberFormat="1" applyFont="1" applyBorder="1" applyAlignment="1">
      <alignment horizontal="center" vertical="center"/>
    </xf>
    <xf numFmtId="0" fontId="62" fillId="0" borderId="1" xfId="49" applyNumberFormat="1" applyFont="1" applyBorder="1" applyAlignment="1">
      <alignment horizontal="center" vertical="center" wrapText="1"/>
    </xf>
    <xf numFmtId="1" fontId="61" fillId="0" borderId="50" xfId="49" applyNumberFormat="1" applyFont="1" applyBorder="1" applyAlignment="1">
      <alignment horizontal="center" vertical="center"/>
    </xf>
    <xf numFmtId="49" fontId="61" fillId="0" borderId="50" xfId="49" applyNumberFormat="1" applyFont="1" applyBorder="1" applyAlignment="1">
      <alignment horizontal="center" vertical="center"/>
    </xf>
    <xf numFmtId="1" fontId="61" fillId="0" borderId="1" xfId="49" applyNumberFormat="1" applyFont="1" applyBorder="1" applyAlignment="1">
      <alignment horizontal="center" vertical="center"/>
    </xf>
    <xf numFmtId="0" fontId="61" fillId="0" borderId="0" xfId="49" applyFont="1"/>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78" fillId="0" borderId="0" xfId="2" applyFont="1" applyFill="1" applyAlignment="1">
      <alignment horizontal="center" vertical="center"/>
    </xf>
    <xf numFmtId="0" fontId="79" fillId="0" borderId="0" xfId="2" applyFont="1" applyFill="1" applyAlignment="1">
      <alignment vertical="center"/>
    </xf>
    <xf numFmtId="0" fontId="11" fillId="24" borderId="0" xfId="2" applyFill="1"/>
    <xf numFmtId="0" fontId="11" fillId="0" borderId="0" xfId="2" applyFill="1"/>
    <xf numFmtId="0" fontId="0" fillId="29" borderId="0" xfId="0" applyFill="1" applyBorder="1" applyAlignment="1">
      <alignment horizontal="center" vertical="center" wrapText="1"/>
    </xf>
    <xf numFmtId="14" fontId="0" fillId="29" borderId="0" xfId="0" applyNumberFormat="1" applyFill="1" applyBorder="1" applyAlignment="1">
      <alignment horizontal="center" vertical="center" wrapText="1"/>
    </xf>
    <xf numFmtId="43" fontId="0" fillId="29" borderId="0" xfId="69" applyFont="1" applyFill="1" applyBorder="1" applyAlignment="1">
      <alignment horizontal="center" vertical="center" wrapText="1"/>
    </xf>
    <xf numFmtId="0" fontId="11" fillId="24" borderId="0" xfId="2" applyFont="1" applyFill="1" applyBorder="1"/>
    <xf numFmtId="167" fontId="61" fillId="0" borderId="1" xfId="49" applyNumberFormat="1" applyFont="1" applyBorder="1" applyAlignment="1">
      <alignment horizontal="center" vertical="center" wrapText="1"/>
    </xf>
    <xf numFmtId="17" fontId="61" fillId="0" borderId="50" xfId="49" applyNumberFormat="1" applyFont="1" applyBorder="1" applyAlignment="1">
      <alignment horizontal="center" vertical="center" wrapText="1"/>
    </xf>
    <xf numFmtId="49" fontId="61" fillId="0" borderId="1" xfId="49" applyNumberFormat="1" applyFont="1" applyBorder="1" applyAlignment="1">
      <alignment horizontal="center" vertical="center" wrapText="1"/>
    </xf>
    <xf numFmtId="1" fontId="61" fillId="0" borderId="1" xfId="49" applyNumberFormat="1" applyFont="1" applyBorder="1" applyAlignment="1">
      <alignment horizontal="center" vertical="center" wrapText="1"/>
    </xf>
    <xf numFmtId="0" fontId="61" fillId="0" borderId="1" xfId="49" applyNumberFormat="1" applyFont="1" applyBorder="1" applyAlignment="1">
      <alignment horizontal="center" vertical="center" wrapText="1"/>
    </xf>
    <xf numFmtId="14" fontId="61" fillId="0" borderId="1" xfId="49" applyNumberFormat="1" applyFont="1" applyBorder="1" applyAlignment="1">
      <alignment horizontal="center" vertical="center" wrapText="1"/>
    </xf>
    <xf numFmtId="0" fontId="61" fillId="0" borderId="0" xfId="49" applyFont="1" applyAlignment="1">
      <alignment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54" xfId="2" applyFont="1" applyFill="1" applyBorder="1" applyAlignment="1">
      <alignment horizontal="center" vertical="center" wrapText="1"/>
    </xf>
    <xf numFmtId="0" fontId="39" fillId="0" borderId="55" xfId="1" applyFont="1" applyBorder="1" applyAlignment="1">
      <alignment horizontal="center" vertical="center" wrapText="1"/>
    </xf>
    <xf numFmtId="0" fontId="7" fillId="0" borderId="55" xfId="1" applyFont="1" applyBorder="1" applyAlignment="1">
      <alignment horizontal="center" vertical="center" wrapText="1"/>
    </xf>
    <xf numFmtId="49" fontId="7" fillId="0" borderId="55" xfId="1" applyNumberFormat="1" applyFont="1" applyBorder="1" applyAlignment="1">
      <alignment vertical="center"/>
    </xf>
    <xf numFmtId="0" fontId="11" fillId="0" borderId="55" xfId="2" applyFont="1" applyFill="1" applyBorder="1" applyAlignment="1">
      <alignment vertical="center" wrapText="1"/>
    </xf>
    <xf numFmtId="0" fontId="42" fillId="0" borderId="0" xfId="52" applyFont="1" applyFill="1" applyAlignment="1"/>
    <xf numFmtId="0" fontId="39"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49" fontId="42" fillId="0" borderId="55" xfId="2" applyNumberFormat="1" applyFont="1" applyFill="1" applyBorder="1" applyAlignment="1">
      <alignment horizontal="center" vertical="center" wrapText="1"/>
    </xf>
    <xf numFmtId="0" fontId="42" fillId="0" borderId="55" xfId="2" applyFont="1" applyFill="1" applyBorder="1" applyAlignment="1">
      <alignment horizontal="left" vertical="center" wrapText="1"/>
    </xf>
    <xf numFmtId="2" fontId="39" fillId="0" borderId="55" xfId="2" applyNumberFormat="1" applyFont="1" applyFill="1" applyBorder="1" applyAlignment="1">
      <alignment horizontal="center" vertical="center" wrapText="1"/>
    </xf>
    <xf numFmtId="175" fontId="42" fillId="0" borderId="55" xfId="2" applyNumberFormat="1" applyFont="1" applyFill="1" applyBorder="1" applyAlignment="1">
      <alignment horizontal="center" vertical="center" wrapText="1"/>
    </xf>
    <xf numFmtId="49" fontId="11" fillId="0" borderId="55" xfId="2" applyNumberFormat="1" applyFont="1" applyFill="1" applyBorder="1" applyAlignment="1">
      <alignment horizontal="center" vertical="center" wrapText="1"/>
    </xf>
    <xf numFmtId="0" fontId="11" fillId="0" borderId="55" xfId="2" applyFont="1" applyFill="1" applyBorder="1" applyAlignment="1">
      <alignment horizontal="left" vertical="center" wrapText="1"/>
    </xf>
    <xf numFmtId="175" fontId="39" fillId="0" borderId="55" xfId="2" applyNumberFormat="1" applyFont="1" applyFill="1" applyBorder="1" applyAlignment="1">
      <alignment horizontal="center" vertical="center" wrapText="1"/>
    </xf>
    <xf numFmtId="175" fontId="7" fillId="0" borderId="55" xfId="2" applyNumberFormat="1" applyFont="1" applyFill="1" applyBorder="1" applyAlignment="1">
      <alignment horizontal="center" vertical="center" wrapText="1"/>
    </xf>
    <xf numFmtId="0" fontId="47" fillId="0" borderId="55" xfId="45" applyFont="1" applyFill="1" applyBorder="1" applyAlignment="1">
      <alignment horizontal="left" vertical="center" wrapText="1"/>
    </xf>
    <xf numFmtId="0" fontId="43" fillId="0" borderId="55" xfId="45" applyFont="1" applyFill="1" applyBorder="1" applyAlignment="1">
      <alignment horizontal="left" vertical="center" wrapText="1"/>
    </xf>
    <xf numFmtId="0" fontId="71" fillId="30" borderId="0" xfId="0" applyFont="1" applyFill="1" applyAlignment="1">
      <alignment horizontal="center" vertical="center"/>
    </xf>
    <xf numFmtId="0" fontId="71" fillId="30" borderId="0" xfId="0" applyFont="1" applyFill="1"/>
    <xf numFmtId="0" fontId="71" fillId="30" borderId="22" xfId="0" applyFont="1" applyFill="1" applyBorder="1" applyAlignment="1">
      <alignment horizontal="left" vertical="center"/>
    </xf>
    <xf numFmtId="3" fontId="71" fillId="30" borderId="2" xfId="0" applyNumberFormat="1" applyFont="1" applyFill="1" applyBorder="1" applyAlignment="1">
      <alignment horizontal="center" vertical="center"/>
    </xf>
    <xf numFmtId="3" fontId="74" fillId="30" borderId="21" xfId="0" applyNumberFormat="1" applyFont="1" applyFill="1" applyBorder="1" applyAlignment="1">
      <alignment horizontal="center" vertical="center"/>
    </xf>
    <xf numFmtId="2" fontId="74" fillId="30" borderId="2" xfId="0" applyNumberFormat="1" applyFont="1" applyFill="1" applyBorder="1" applyAlignment="1">
      <alignment horizontal="center" vertical="center"/>
    </xf>
    <xf numFmtId="3" fontId="74" fillId="30" borderId="2" xfId="0" applyNumberFormat="1" applyFont="1" applyFill="1" applyBorder="1" applyAlignment="1">
      <alignment horizontal="center" vertical="center"/>
    </xf>
    <xf numFmtId="0" fontId="0" fillId="30" borderId="0" xfId="0" applyFill="1"/>
    <xf numFmtId="0" fontId="11" fillId="0" borderId="56" xfId="1" applyFont="1" applyFill="1" applyBorder="1" applyAlignment="1">
      <alignment horizontal="justify" vertical="center" wrapText="1"/>
    </xf>
    <xf numFmtId="0" fontId="72" fillId="0" borderId="56" xfId="0" applyFont="1" applyBorder="1" applyAlignment="1">
      <alignment horizontal="center" vertical="center" wrapText="1"/>
    </xf>
    <xf numFmtId="0" fontId="72" fillId="0" borderId="56" xfId="0" applyFont="1" applyFill="1" applyBorder="1" applyAlignment="1">
      <alignment horizontal="center" vertical="center" wrapText="1"/>
    </xf>
    <xf numFmtId="2" fontId="72" fillId="0" borderId="56" xfId="0" applyNumberFormat="1" applyFont="1" applyFill="1" applyBorder="1" applyAlignment="1">
      <alignment horizontal="center" vertical="center" wrapText="1"/>
    </xf>
    <xf numFmtId="0" fontId="72" fillId="0" borderId="56" xfId="0" applyFont="1" applyFill="1" applyBorder="1" applyAlignment="1">
      <alignment horizontal="left" vertical="center" wrapText="1"/>
    </xf>
    <xf numFmtId="0" fontId="73" fillId="26" borderId="56" xfId="0" applyFont="1" applyFill="1" applyBorder="1" applyAlignment="1">
      <alignment horizontal="left" vertical="center" indent="3"/>
    </xf>
    <xf numFmtId="0" fontId="73" fillId="26" borderId="56" xfId="0" applyFont="1" applyFill="1" applyBorder="1" applyAlignment="1">
      <alignment horizontal="center" vertical="center"/>
    </xf>
    <xf numFmtId="0" fontId="73" fillId="26" borderId="56" xfId="0" applyFont="1" applyFill="1" applyBorder="1" applyAlignment="1">
      <alignment horizontal="left" vertical="center"/>
    </xf>
    <xf numFmtId="2" fontId="73" fillId="26" borderId="56" xfId="0" applyNumberFormat="1" applyFont="1" applyFill="1" applyBorder="1" applyAlignment="1">
      <alignment horizontal="center" vertical="center"/>
    </xf>
    <xf numFmtId="0" fontId="2" fillId="26" borderId="56" xfId="0" applyFont="1" applyFill="1" applyBorder="1" applyAlignment="1">
      <alignment horizontal="left"/>
    </xf>
    <xf numFmtId="0" fontId="77" fillId="0" borderId="56" xfId="0" applyFont="1" applyFill="1" applyBorder="1" applyAlignment="1">
      <alignment horizontal="center" vertical="center" wrapText="1"/>
    </xf>
    <xf numFmtId="0" fontId="2" fillId="26" borderId="56" xfId="0" applyFont="1" applyFill="1" applyBorder="1"/>
    <xf numFmtId="0" fontId="72" fillId="0" borderId="56" xfId="0" applyFont="1" applyFill="1" applyBorder="1" applyAlignment="1">
      <alignment horizontal="center" vertical="center"/>
    </xf>
    <xf numFmtId="0" fontId="72" fillId="0" borderId="56" xfId="0" applyFont="1" applyFill="1" applyBorder="1" applyAlignment="1">
      <alignment horizontal="left" vertical="center"/>
    </xf>
    <xf numFmtId="10" fontId="72" fillId="0" borderId="56" xfId="70" applyNumberFormat="1" applyFont="1" applyFill="1" applyBorder="1" applyAlignment="1">
      <alignment horizontal="center" vertical="center"/>
    </xf>
    <xf numFmtId="2" fontId="72" fillId="0" borderId="56" xfId="0" applyNumberFormat="1" applyFont="1" applyFill="1" applyBorder="1" applyAlignment="1">
      <alignment horizontal="center" vertical="center"/>
    </xf>
    <xf numFmtId="0" fontId="0" fillId="0" borderId="56" xfId="0" applyFill="1" applyBorder="1" applyAlignment="1">
      <alignment wrapText="1"/>
    </xf>
    <xf numFmtId="168" fontId="72" fillId="0" borderId="56" xfId="0" applyNumberFormat="1" applyFont="1" applyFill="1" applyBorder="1" applyAlignment="1">
      <alignment horizontal="center" vertical="center"/>
    </xf>
    <xf numFmtId="0" fontId="0" fillId="0" borderId="56" xfId="0" applyFill="1" applyBorder="1"/>
    <xf numFmtId="0" fontId="71" fillId="27" borderId="56" xfId="0" applyFont="1" applyFill="1" applyBorder="1" applyAlignment="1">
      <alignment horizontal="center"/>
    </xf>
    <xf numFmtId="0" fontId="7" fillId="0" borderId="56" xfId="0" applyFont="1" applyFill="1" applyBorder="1" applyAlignment="1">
      <alignment horizontal="center" vertical="center"/>
    </xf>
    <xf numFmtId="0" fontId="71" fillId="0" borderId="56" xfId="0" applyFont="1" applyBorder="1" applyAlignment="1">
      <alignment horizontal="center" vertical="center" wrapText="1"/>
    </xf>
    <xf numFmtId="0" fontId="71" fillId="0" borderId="56" xfId="0" applyFont="1" applyBorder="1" applyAlignment="1">
      <alignment horizontal="center" vertical="center"/>
    </xf>
    <xf numFmtId="0" fontId="71" fillId="0" borderId="56" xfId="0" applyFont="1" applyFill="1" applyBorder="1" applyAlignment="1">
      <alignment wrapText="1"/>
    </xf>
    <xf numFmtId="0" fontId="74" fillId="27" borderId="56" xfId="0" applyFont="1" applyFill="1" applyBorder="1" applyAlignment="1">
      <alignment horizontal="center"/>
    </xf>
    <xf numFmtId="0" fontId="71" fillId="31" borderId="0" xfId="0" applyFont="1" applyFill="1" applyAlignment="1">
      <alignment horizontal="center" vertical="center"/>
    </xf>
    <xf numFmtId="0" fontId="71" fillId="31" borderId="0" xfId="0" applyFont="1" applyFill="1"/>
    <xf numFmtId="0" fontId="71" fillId="31" borderId="22" xfId="0" applyFont="1" applyFill="1" applyBorder="1" applyAlignment="1">
      <alignment horizontal="left" vertical="center"/>
    </xf>
    <xf numFmtId="3" fontId="71" fillId="31" borderId="2" xfId="0" applyNumberFormat="1" applyFont="1" applyFill="1" applyBorder="1" applyAlignment="1">
      <alignment horizontal="center" vertical="center"/>
    </xf>
    <xf numFmtId="0" fontId="74" fillId="31" borderId="56" xfId="0" applyFont="1" applyFill="1" applyBorder="1" applyAlignment="1">
      <alignment horizontal="center" vertical="center"/>
    </xf>
    <xf numFmtId="3" fontId="74" fillId="31" borderId="56" xfId="0" applyNumberFormat="1" applyFont="1" applyFill="1" applyBorder="1" applyAlignment="1">
      <alignment horizontal="center" vertical="center"/>
    </xf>
    <xf numFmtId="3" fontId="74" fillId="31" borderId="21" xfId="0" applyNumberFormat="1" applyFont="1" applyFill="1" applyBorder="1" applyAlignment="1">
      <alignment horizontal="center" vertical="center"/>
    </xf>
    <xf numFmtId="2" fontId="74" fillId="31" borderId="2" xfId="0" applyNumberFormat="1" applyFont="1" applyFill="1" applyBorder="1" applyAlignment="1">
      <alignment horizontal="center" vertical="center"/>
    </xf>
    <xf numFmtId="3" fontId="74" fillId="31" borderId="2" xfId="0" applyNumberFormat="1" applyFont="1" applyFill="1" applyBorder="1" applyAlignment="1">
      <alignment horizontal="center" vertical="center"/>
    </xf>
    <xf numFmtId="0" fontId="71" fillId="0" borderId="56" xfId="0" applyFont="1" applyBorder="1" applyAlignment="1">
      <alignment horizontal="left" vertical="center"/>
    </xf>
    <xf numFmtId="3" fontId="71" fillId="0" borderId="56" xfId="0" applyNumberFormat="1" applyFont="1" applyBorder="1" applyAlignment="1">
      <alignment horizontal="center" vertical="center"/>
    </xf>
    <xf numFmtId="0" fontId="71" fillId="0" borderId="56" xfId="0" applyFont="1" applyBorder="1"/>
    <xf numFmtId="0" fontId="71" fillId="0" borderId="56" xfId="0" applyFont="1" applyFill="1" applyBorder="1" applyAlignment="1">
      <alignment horizontal="center" vertical="center"/>
    </xf>
    <xf numFmtId="2" fontId="71" fillId="0" borderId="56" xfId="0" applyNumberFormat="1" applyFont="1" applyFill="1" applyBorder="1" applyAlignment="1">
      <alignment horizontal="center" vertical="center"/>
    </xf>
    <xf numFmtId="168" fontId="71" fillId="0" borderId="56" xfId="0" applyNumberFormat="1" applyFont="1" applyBorder="1"/>
    <xf numFmtId="0" fontId="74" fillId="30" borderId="56" xfId="0" applyFont="1" applyFill="1" applyBorder="1" applyAlignment="1">
      <alignment horizontal="center"/>
    </xf>
    <xf numFmtId="3" fontId="74" fillId="30" borderId="56" xfId="0" applyNumberFormat="1" applyFont="1" applyFill="1" applyBorder="1" applyAlignment="1">
      <alignment horizontal="center" vertical="center"/>
    </xf>
    <xf numFmtId="0" fontId="74" fillId="26" borderId="56" xfId="0" applyFont="1" applyFill="1" applyBorder="1" applyAlignment="1">
      <alignment horizontal="left"/>
    </xf>
    <xf numFmtId="0" fontId="73" fillId="26" borderId="58" xfId="0" applyFont="1" applyFill="1" applyBorder="1" applyAlignment="1">
      <alignment horizontal="center" vertical="center"/>
    </xf>
    <xf numFmtId="177" fontId="73" fillId="26" borderId="56" xfId="0" applyNumberFormat="1" applyFont="1" applyFill="1" applyBorder="1" applyAlignment="1">
      <alignment horizontal="center" vertical="center"/>
    </xf>
    <xf numFmtId="1" fontId="73" fillId="26" borderId="56" xfId="0" applyNumberFormat="1" applyFont="1" applyFill="1" applyBorder="1" applyAlignment="1">
      <alignment horizontal="center" vertical="center"/>
    </xf>
    <xf numFmtId="0" fontId="74" fillId="26" borderId="56" xfId="0" applyFont="1" applyFill="1" applyBorder="1"/>
    <xf numFmtId="49" fontId="72" fillId="0" borderId="56" xfId="0" applyNumberFormat="1" applyFont="1" applyFill="1" applyBorder="1" applyAlignment="1">
      <alignment horizontal="center" vertical="center"/>
    </xf>
    <xf numFmtId="168" fontId="73" fillId="26" borderId="56" xfId="0" applyNumberFormat="1" applyFont="1" applyFill="1" applyBorder="1" applyAlignment="1">
      <alignment horizontal="center" vertical="center"/>
    </xf>
    <xf numFmtId="2" fontId="0" fillId="0" borderId="56" xfId="0" applyNumberFormat="1"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2" fontId="72" fillId="0" borderId="57" xfId="0" applyNumberFormat="1" applyFont="1" applyFill="1" applyBorder="1" applyAlignment="1">
      <alignment horizontal="center" vertical="center"/>
    </xf>
    <xf numFmtId="2" fontId="72" fillId="0" borderId="2" xfId="0" applyNumberFormat="1" applyFont="1" applyFill="1" applyBorder="1" applyAlignment="1">
      <alignment horizontal="center" vertical="center"/>
    </xf>
    <xf numFmtId="2" fontId="72" fillId="0" borderId="6" xfId="0" applyNumberFormat="1" applyFont="1" applyFill="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5" xfId="1" applyFont="1" applyBorder="1" applyAlignment="1">
      <alignment horizontal="center" vertical="center" wrapText="1"/>
    </xf>
    <xf numFmtId="0" fontId="62" fillId="0" borderId="51" xfId="67" applyFont="1" applyFill="1" applyBorder="1" applyAlignment="1">
      <alignment horizontal="center" vertical="center" wrapText="1"/>
    </xf>
    <xf numFmtId="0" fontId="62" fillId="0" borderId="52" xfId="67" applyFont="1" applyFill="1" applyBorder="1" applyAlignment="1">
      <alignment horizontal="center" vertical="center" wrapText="1"/>
    </xf>
    <xf numFmtId="0" fontId="62" fillId="0" borderId="53" xfId="67" applyFont="1" applyFill="1" applyBorder="1" applyAlignment="1">
      <alignment horizontal="center" vertical="center" wrapText="1"/>
    </xf>
    <xf numFmtId="3" fontId="62" fillId="0" borderId="51" xfId="67" applyNumberFormat="1" applyFont="1" applyFill="1" applyBorder="1" applyAlignment="1">
      <alignment horizontal="center" vertical="center"/>
    </xf>
    <xf numFmtId="3" fontId="62" fillId="0" borderId="53" xfId="67" applyNumberFormat="1" applyFont="1" applyFill="1" applyBorder="1" applyAlignment="1">
      <alignment horizontal="center" vertical="center"/>
    </xf>
    <xf numFmtId="0" fontId="62" fillId="0" borderId="51" xfId="67" applyFont="1" applyFill="1" applyBorder="1" applyAlignment="1">
      <alignment horizontal="center" vertical="center"/>
    </xf>
    <xf numFmtId="0" fontId="62" fillId="0" borderId="52" xfId="67" applyFont="1" applyFill="1" applyBorder="1" applyAlignment="1">
      <alignment horizontal="center" vertical="center"/>
    </xf>
    <xf numFmtId="0" fontId="62" fillId="0" borderId="53" xfId="67" applyFont="1" applyFill="1" applyBorder="1" applyAlignment="1">
      <alignment horizontal="center" vertical="center"/>
    </xf>
    <xf numFmtId="0" fontId="57" fillId="0" borderId="0" xfId="67" applyFont="1" applyFill="1" applyAlignment="1">
      <alignment horizontal="left" vertical="center" wrapText="1"/>
    </xf>
    <xf numFmtId="4" fontId="62" fillId="0" borderId="51" xfId="67" applyNumberFormat="1" applyFont="1" applyFill="1" applyBorder="1" applyAlignment="1">
      <alignment horizontal="center" vertical="center"/>
    </xf>
    <xf numFmtId="4" fontId="62" fillId="0" borderId="5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9" fillId="0" borderId="0" xfId="1" applyFont="1" applyFill="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4"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42" fillId="0" borderId="55" xfId="2" applyFont="1" applyFill="1" applyBorder="1" applyAlignment="1">
      <alignment horizontal="center" vertical="center"/>
    </xf>
    <xf numFmtId="0" fontId="39" fillId="0" borderId="54"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5" xfId="52" applyFont="1" applyFill="1" applyBorder="1" applyAlignment="1">
      <alignment horizontal="center" vertical="center" wrapText="1"/>
    </xf>
    <xf numFmtId="0" fontId="39" fillId="0" borderId="51" xfId="52" applyFont="1" applyFill="1" applyBorder="1" applyAlignment="1">
      <alignment horizontal="center" vertical="center"/>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5"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49" fillId="0" borderId="0" xfId="1" applyFont="1" applyAlignment="1">
      <alignment horizontal="center" vertical="center"/>
    </xf>
    <xf numFmtId="0" fontId="68" fillId="0" borderId="0" xfId="1" applyFont="1" applyAlignment="1">
      <alignment horizontal="center" vertical="center"/>
    </xf>
    <xf numFmtId="0" fontId="11" fillId="0" borderId="0" xfId="1" applyFont="1" applyAlignment="1">
      <alignment horizontal="center" vertical="center"/>
    </xf>
    <xf numFmtId="0" fontId="68"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0" fillId="32" borderId="30" xfId="2" applyFont="1" applyFill="1" applyBorder="1" applyAlignment="1">
      <alignment horizontal="justify" vertical="top" wrapText="1"/>
    </xf>
    <xf numFmtId="4" fontId="40" fillId="32" borderId="30" xfId="2" applyNumberFormat="1" applyFont="1" applyFill="1" applyBorder="1" applyAlignment="1">
      <alignment horizontal="justify" vertical="top" wrapText="1"/>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3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эфф'!$A$89</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эфф'!$B$89:$L$89</c:f>
              <c:numCache>
                <c:formatCode>#,##0</c:formatCode>
                <c:ptCount val="11"/>
                <c:pt idx="0">
                  <c:v>-39201366.385564245</c:v>
                </c:pt>
                <c:pt idx="1">
                  <c:v>304180.04394504894</c:v>
                </c:pt>
                <c:pt idx="2">
                  <c:v>-3551954.8642133623</c:v>
                </c:pt>
                <c:pt idx="3">
                  <c:v>36178035.313913167</c:v>
                </c:pt>
                <c:pt idx="4">
                  <c:v>66876296.077606872</c:v>
                </c:pt>
                <c:pt idx="5">
                  <c:v>99483971.851306543</c:v>
                </c:pt>
                <c:pt idx="6">
                  <c:v>40334135.997994244</c:v>
                </c:pt>
                <c:pt idx="7">
                  <c:v>147845366.50902301</c:v>
                </c:pt>
                <c:pt idx="8">
                  <c:v>125336477.05341151</c:v>
                </c:pt>
                <c:pt idx="9">
                  <c:v>115758144.327666</c:v>
                </c:pt>
                <c:pt idx="10">
                  <c:v>106913320.59889972</c:v>
                </c:pt>
              </c:numCache>
            </c:numRef>
          </c:val>
          <c:smooth val="0"/>
        </c:ser>
        <c:ser>
          <c:idx val="1"/>
          <c:order val="1"/>
          <c:tx>
            <c:strRef>
              <c:f>'5. анализ эконом эфф'!$A$90</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эфф'!$B$90:$L$90</c:f>
              <c:numCache>
                <c:formatCode>#,##0</c:formatCode>
                <c:ptCount val="11"/>
                <c:pt idx="0">
                  <c:v>-39201366.385564245</c:v>
                </c:pt>
                <c:pt idx="1">
                  <c:v>-38897186.341619194</c:v>
                </c:pt>
                <c:pt idx="2">
                  <c:v>-42449141.205832556</c:v>
                </c:pt>
                <c:pt idx="3">
                  <c:v>-6271105.8919193894</c:v>
                </c:pt>
                <c:pt idx="4">
                  <c:v>60605190.185687482</c:v>
                </c:pt>
                <c:pt idx="5">
                  <c:v>160089162.03699404</c:v>
                </c:pt>
                <c:pt idx="6">
                  <c:v>200423298.03498828</c:v>
                </c:pt>
                <c:pt idx="7">
                  <c:v>348268664.54401129</c:v>
                </c:pt>
                <c:pt idx="8">
                  <c:v>473605141.59742284</c:v>
                </c:pt>
                <c:pt idx="9">
                  <c:v>589363285.92508888</c:v>
                </c:pt>
                <c:pt idx="10">
                  <c:v>696276606.5239886</c:v>
                </c:pt>
              </c:numCache>
            </c:numRef>
          </c:val>
          <c:smooth val="0"/>
        </c:ser>
        <c:dLbls>
          <c:showLegendKey val="0"/>
          <c:showVal val="0"/>
          <c:showCatName val="0"/>
          <c:showSerName val="0"/>
          <c:showPercent val="0"/>
          <c:showBubbleSize val="0"/>
        </c:dLbls>
        <c:smooth val="0"/>
        <c:axId val="145287848"/>
        <c:axId val="145289416"/>
      </c:lineChart>
      <c:catAx>
        <c:axId val="14528784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5289416"/>
        <c:crosses val="autoZero"/>
        <c:auto val="1"/>
        <c:lblAlgn val="ctr"/>
        <c:lblOffset val="100"/>
        <c:noMultiLvlLbl val="0"/>
      </c:catAx>
      <c:valAx>
        <c:axId val="14528941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52878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15240</xdr:colOff>
      <xdr:row>45</xdr:row>
      <xdr:rowOff>22860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8"/>
  <sheetViews>
    <sheetView tabSelected="1" view="pageBreakPreview" topLeftCell="A3" zoomScaleSheetLayoutView="100" workbookViewId="0">
      <selection activeCell="C23" sqref="C23"/>
    </sheetView>
  </sheetViews>
  <sheetFormatPr defaultColWidth="9.140625" defaultRowHeight="15" x14ac:dyDescent="0.25"/>
  <cols>
    <col min="1" max="1" width="6.140625" style="252" customWidth="1"/>
    <col min="2" max="2" width="53.5703125" style="252" customWidth="1"/>
    <col min="3" max="3" width="91.42578125" style="252" customWidth="1"/>
    <col min="4" max="4" width="36.5703125" style="252" customWidth="1"/>
    <col min="5" max="5" width="20" style="252" customWidth="1"/>
    <col min="6" max="6" width="25.5703125" style="252" customWidth="1"/>
    <col min="7" max="7" width="16.42578125" style="252" customWidth="1"/>
    <col min="8" max="16384" width="9.140625" style="252"/>
  </cols>
  <sheetData>
    <row r="1" spans="1:20" s="16" customFormat="1" ht="18.75" customHeight="1" x14ac:dyDescent="0.2">
      <c r="A1" s="234"/>
      <c r="C1" s="235" t="s">
        <v>66</v>
      </c>
    </row>
    <row r="2" spans="1:20" s="16" customFormat="1" ht="18.75" customHeight="1" x14ac:dyDescent="0.3">
      <c r="A2" s="234"/>
      <c r="C2" s="236" t="s">
        <v>8</v>
      </c>
    </row>
    <row r="3" spans="1:20" s="16" customFormat="1" ht="18.75" x14ac:dyDescent="0.3">
      <c r="A3" s="237"/>
      <c r="C3" s="236" t="s">
        <v>65</v>
      </c>
    </row>
    <row r="4" spans="1:20" s="16" customFormat="1" ht="18.75" x14ac:dyDescent="0.3">
      <c r="A4" s="237"/>
      <c r="F4" s="236"/>
    </row>
    <row r="5" spans="1:20" s="16" customFormat="1" ht="15.75" x14ac:dyDescent="0.25">
      <c r="A5" s="435" t="s">
        <v>764</v>
      </c>
      <c r="B5" s="435"/>
      <c r="C5" s="435"/>
      <c r="D5" s="151"/>
      <c r="E5" s="151"/>
      <c r="F5" s="151"/>
      <c r="G5" s="151"/>
      <c r="H5" s="151"/>
    </row>
    <row r="6" spans="1:20" s="16" customFormat="1" ht="18.75" x14ac:dyDescent="0.3">
      <c r="A6" s="237"/>
      <c r="F6" s="236"/>
    </row>
    <row r="7" spans="1:20" s="16" customFormat="1" ht="18.75" x14ac:dyDescent="0.2">
      <c r="A7" s="439" t="s">
        <v>7</v>
      </c>
      <c r="B7" s="439"/>
      <c r="C7" s="439"/>
      <c r="D7" s="238"/>
      <c r="E7" s="238"/>
      <c r="F7" s="238"/>
      <c r="G7" s="238"/>
      <c r="H7" s="238"/>
      <c r="I7" s="238"/>
      <c r="J7" s="238"/>
      <c r="K7" s="238"/>
      <c r="L7" s="238"/>
      <c r="M7" s="238"/>
      <c r="N7" s="238"/>
      <c r="O7" s="238"/>
      <c r="P7" s="238"/>
      <c r="Q7" s="238"/>
      <c r="R7" s="238"/>
      <c r="S7" s="238"/>
      <c r="T7" s="238"/>
    </row>
    <row r="8" spans="1:20" s="16" customFormat="1" ht="18.75" x14ac:dyDescent="0.2">
      <c r="A8" s="239"/>
      <c r="B8" s="239"/>
      <c r="C8" s="239"/>
      <c r="D8" s="239"/>
      <c r="E8" s="239"/>
      <c r="F8" s="239"/>
      <c r="G8" s="238"/>
      <c r="H8" s="238"/>
      <c r="I8" s="238"/>
      <c r="J8" s="238"/>
      <c r="K8" s="238"/>
      <c r="L8" s="238"/>
      <c r="M8" s="238"/>
      <c r="N8" s="238"/>
      <c r="O8" s="238"/>
      <c r="P8" s="238"/>
      <c r="Q8" s="238"/>
      <c r="R8" s="238"/>
      <c r="S8" s="238"/>
      <c r="T8" s="238"/>
    </row>
    <row r="9" spans="1:20" s="16" customFormat="1" ht="18.75" x14ac:dyDescent="0.2">
      <c r="A9" s="440" t="s">
        <v>540</v>
      </c>
      <c r="B9" s="440"/>
      <c r="C9" s="440"/>
      <c r="D9" s="240"/>
      <c r="E9" s="240"/>
      <c r="F9" s="240"/>
      <c r="G9" s="238"/>
      <c r="H9" s="238"/>
      <c r="I9" s="238"/>
      <c r="J9" s="238"/>
      <c r="K9" s="238"/>
      <c r="L9" s="238"/>
      <c r="M9" s="238"/>
      <c r="N9" s="238"/>
      <c r="O9" s="238"/>
      <c r="P9" s="238"/>
      <c r="Q9" s="238"/>
      <c r="R9" s="238"/>
      <c r="S9" s="238"/>
      <c r="T9" s="238"/>
    </row>
    <row r="10" spans="1:20" s="16" customFormat="1" ht="18.75" x14ac:dyDescent="0.2">
      <c r="A10" s="436" t="s">
        <v>6</v>
      </c>
      <c r="B10" s="436"/>
      <c r="C10" s="436"/>
      <c r="D10" s="241"/>
      <c r="E10" s="241"/>
      <c r="F10" s="241"/>
      <c r="G10" s="238"/>
      <c r="H10" s="238"/>
      <c r="I10" s="238"/>
      <c r="J10" s="238"/>
      <c r="K10" s="238"/>
      <c r="L10" s="238"/>
      <c r="M10" s="238"/>
      <c r="N10" s="238"/>
      <c r="O10" s="238"/>
      <c r="P10" s="238"/>
      <c r="Q10" s="238"/>
      <c r="R10" s="238"/>
      <c r="S10" s="238"/>
      <c r="T10" s="238"/>
    </row>
    <row r="11" spans="1:20" s="16" customFormat="1" ht="18.75" x14ac:dyDescent="0.2">
      <c r="A11" s="239"/>
      <c r="B11" s="239"/>
      <c r="C11" s="239"/>
      <c r="D11" s="239"/>
      <c r="E11" s="239"/>
      <c r="F11" s="239"/>
      <c r="G11" s="238"/>
      <c r="H11" s="238"/>
      <c r="I11" s="238"/>
      <c r="J11" s="238"/>
      <c r="K11" s="238"/>
      <c r="L11" s="238"/>
      <c r="M11" s="238"/>
      <c r="N11" s="238"/>
      <c r="O11" s="238"/>
      <c r="P11" s="238"/>
      <c r="Q11" s="238"/>
      <c r="R11" s="238"/>
      <c r="S11" s="238"/>
      <c r="T11" s="238"/>
    </row>
    <row r="12" spans="1:20" s="16" customFormat="1" ht="18.75" x14ac:dyDescent="0.2">
      <c r="A12" s="438" t="s">
        <v>539</v>
      </c>
      <c r="B12" s="438"/>
      <c r="C12" s="438"/>
      <c r="D12" s="240"/>
      <c r="E12" s="240"/>
      <c r="F12" s="240"/>
      <c r="G12" s="238"/>
      <c r="H12" s="238"/>
      <c r="I12" s="238"/>
      <c r="J12" s="238"/>
      <c r="K12" s="238"/>
      <c r="L12" s="238"/>
      <c r="M12" s="238"/>
      <c r="N12" s="238"/>
      <c r="O12" s="238"/>
      <c r="P12" s="238"/>
      <c r="Q12" s="238"/>
      <c r="R12" s="238"/>
      <c r="S12" s="238"/>
      <c r="T12" s="238"/>
    </row>
    <row r="13" spans="1:20" s="16" customFormat="1" ht="18.75" x14ac:dyDescent="0.2">
      <c r="A13" s="436" t="s">
        <v>5</v>
      </c>
      <c r="B13" s="436"/>
      <c r="C13" s="436"/>
      <c r="D13" s="241"/>
      <c r="E13" s="241"/>
      <c r="F13" s="241"/>
      <c r="G13" s="238"/>
      <c r="H13" s="238"/>
      <c r="I13" s="238"/>
      <c r="J13" s="238"/>
      <c r="K13" s="238"/>
      <c r="L13" s="238"/>
      <c r="M13" s="238"/>
      <c r="N13" s="238"/>
      <c r="O13" s="238"/>
      <c r="P13" s="238"/>
      <c r="Q13" s="238"/>
      <c r="R13" s="238"/>
      <c r="S13" s="238"/>
      <c r="T13" s="238"/>
    </row>
    <row r="14" spans="1:20" s="242" customFormat="1" ht="15.75" customHeight="1" x14ac:dyDescent="0.2">
      <c r="A14" s="233"/>
      <c r="B14" s="233"/>
      <c r="C14" s="233"/>
      <c r="D14" s="233"/>
      <c r="E14" s="233"/>
      <c r="F14" s="233"/>
      <c r="G14" s="233"/>
      <c r="H14" s="233"/>
      <c r="I14" s="233"/>
      <c r="J14" s="233"/>
      <c r="K14" s="233"/>
      <c r="L14" s="233"/>
      <c r="M14" s="233"/>
      <c r="N14" s="233"/>
      <c r="O14" s="233"/>
      <c r="P14" s="233"/>
      <c r="Q14" s="233"/>
      <c r="R14" s="233"/>
      <c r="S14" s="233"/>
      <c r="T14" s="233"/>
    </row>
    <row r="15" spans="1:20" s="243" customFormat="1" ht="59.25" customHeight="1" x14ac:dyDescent="0.2">
      <c r="A15" s="441" t="s">
        <v>590</v>
      </c>
      <c r="B15" s="441"/>
      <c r="C15" s="441"/>
      <c r="D15" s="240"/>
      <c r="E15" s="240"/>
      <c r="F15" s="240"/>
      <c r="G15" s="240"/>
      <c r="H15" s="240"/>
      <c r="I15" s="240"/>
      <c r="J15" s="240"/>
      <c r="K15" s="240"/>
      <c r="L15" s="240"/>
      <c r="M15" s="240"/>
      <c r="N15" s="240"/>
      <c r="O15" s="240"/>
      <c r="P15" s="240"/>
      <c r="Q15" s="240"/>
      <c r="R15" s="240"/>
      <c r="S15" s="240"/>
      <c r="T15" s="240"/>
    </row>
    <row r="16" spans="1:20" s="243" customFormat="1" ht="15" customHeight="1" x14ac:dyDescent="0.2">
      <c r="A16" s="436" t="s">
        <v>4</v>
      </c>
      <c r="B16" s="436"/>
      <c r="C16" s="436"/>
      <c r="D16" s="241"/>
      <c r="E16" s="241"/>
      <c r="F16" s="241"/>
      <c r="G16" s="241"/>
      <c r="H16" s="241"/>
      <c r="I16" s="241"/>
      <c r="J16" s="241"/>
      <c r="K16" s="241"/>
      <c r="L16" s="241"/>
      <c r="M16" s="241"/>
      <c r="N16" s="241"/>
      <c r="O16" s="241"/>
      <c r="P16" s="241"/>
      <c r="Q16" s="241"/>
      <c r="R16" s="241"/>
      <c r="S16" s="241"/>
      <c r="T16" s="241"/>
    </row>
    <row r="17" spans="1:20" s="243" customFormat="1" ht="15" customHeight="1" x14ac:dyDescent="0.2">
      <c r="A17" s="244"/>
      <c r="B17" s="244"/>
      <c r="C17" s="244"/>
      <c r="D17" s="244"/>
      <c r="E17" s="244"/>
      <c r="F17" s="244"/>
      <c r="G17" s="244"/>
      <c r="H17" s="244"/>
      <c r="I17" s="244"/>
      <c r="J17" s="244"/>
      <c r="K17" s="244"/>
      <c r="L17" s="244"/>
      <c r="M17" s="244"/>
      <c r="N17" s="244"/>
      <c r="O17" s="244"/>
      <c r="P17" s="244"/>
      <c r="Q17" s="244"/>
    </row>
    <row r="18" spans="1:20" s="243" customFormat="1" ht="15" customHeight="1" x14ac:dyDescent="0.2">
      <c r="A18" s="437" t="s">
        <v>504</v>
      </c>
      <c r="B18" s="438"/>
      <c r="C18" s="438"/>
      <c r="D18" s="245"/>
      <c r="E18" s="245"/>
      <c r="F18" s="245"/>
      <c r="G18" s="245"/>
      <c r="H18" s="245"/>
      <c r="I18" s="245"/>
      <c r="J18" s="245"/>
      <c r="K18" s="245"/>
      <c r="L18" s="245"/>
      <c r="M18" s="245"/>
      <c r="N18" s="245"/>
      <c r="O18" s="245"/>
      <c r="P18" s="245"/>
      <c r="Q18" s="245"/>
      <c r="R18" s="245"/>
      <c r="S18" s="245"/>
      <c r="T18" s="245"/>
    </row>
    <row r="19" spans="1:20" s="243" customFormat="1" ht="15" customHeight="1" x14ac:dyDescent="0.2">
      <c r="A19" s="241"/>
      <c r="B19" s="241"/>
      <c r="C19" s="241"/>
      <c r="D19" s="241"/>
      <c r="E19" s="241"/>
      <c r="F19" s="241"/>
      <c r="G19" s="244"/>
      <c r="H19" s="244"/>
      <c r="I19" s="244"/>
      <c r="J19" s="244"/>
      <c r="K19" s="244"/>
      <c r="L19" s="244"/>
      <c r="M19" s="244"/>
      <c r="N19" s="244"/>
      <c r="O19" s="244"/>
      <c r="P19" s="244"/>
      <c r="Q19" s="244"/>
    </row>
    <row r="20" spans="1:20" s="243" customFormat="1" ht="39.75" customHeight="1" x14ac:dyDescent="0.2">
      <c r="A20" s="31" t="s">
        <v>3</v>
      </c>
      <c r="B20" s="246" t="s">
        <v>64</v>
      </c>
      <c r="C20" s="247" t="s">
        <v>63</v>
      </c>
      <c r="D20" s="248"/>
      <c r="E20" s="248"/>
      <c r="F20" s="248"/>
      <c r="G20" s="233"/>
      <c r="H20" s="233"/>
      <c r="I20" s="233"/>
      <c r="J20" s="233"/>
      <c r="K20" s="233"/>
      <c r="L20" s="233"/>
      <c r="M20" s="233"/>
      <c r="N20" s="233"/>
      <c r="O20" s="233"/>
      <c r="P20" s="233"/>
      <c r="Q20" s="233"/>
      <c r="R20" s="249"/>
      <c r="S20" s="249"/>
      <c r="T20" s="249"/>
    </row>
    <row r="21" spans="1:20" s="243" customFormat="1" ht="16.5" customHeight="1" x14ac:dyDescent="0.2">
      <c r="A21" s="247">
        <v>1</v>
      </c>
      <c r="B21" s="246">
        <v>2</v>
      </c>
      <c r="C21" s="247">
        <v>3</v>
      </c>
      <c r="D21" s="248"/>
      <c r="E21" s="248"/>
      <c r="F21" s="248"/>
      <c r="G21" s="233"/>
      <c r="H21" s="233"/>
      <c r="I21" s="233"/>
      <c r="J21" s="233"/>
      <c r="K21" s="233"/>
      <c r="L21" s="233"/>
      <c r="M21" s="233"/>
      <c r="N21" s="233"/>
      <c r="O21" s="233"/>
      <c r="P21" s="233"/>
      <c r="Q21" s="233"/>
      <c r="R21" s="249"/>
      <c r="S21" s="249"/>
      <c r="T21" s="249"/>
    </row>
    <row r="22" spans="1:20" s="243" customFormat="1" ht="39" customHeight="1" x14ac:dyDescent="0.2">
      <c r="A22" s="24" t="s">
        <v>62</v>
      </c>
      <c r="B22" s="250" t="s">
        <v>345</v>
      </c>
      <c r="C22" s="148" t="s">
        <v>541</v>
      </c>
      <c r="D22" s="248"/>
      <c r="E22" s="248"/>
      <c r="F22" s="248"/>
      <c r="G22" s="233"/>
      <c r="H22" s="233"/>
      <c r="I22" s="233"/>
      <c r="J22" s="233"/>
      <c r="K22" s="233"/>
      <c r="L22" s="233"/>
      <c r="M22" s="233"/>
      <c r="N22" s="233"/>
      <c r="O22" s="233"/>
      <c r="P22" s="233"/>
      <c r="Q22" s="233"/>
      <c r="R22" s="249"/>
      <c r="S22" s="249"/>
      <c r="T22" s="249"/>
    </row>
    <row r="23" spans="1:20" s="243" customFormat="1" ht="103.5" customHeight="1" x14ac:dyDescent="0.2">
      <c r="A23" s="24" t="s">
        <v>61</v>
      </c>
      <c r="B23" s="32" t="s">
        <v>544</v>
      </c>
      <c r="C23" s="148" t="s">
        <v>641</v>
      </c>
      <c r="D23" s="248"/>
      <c r="E23" s="248"/>
      <c r="F23" s="248"/>
      <c r="G23" s="233"/>
      <c r="H23" s="233"/>
      <c r="I23" s="233"/>
      <c r="J23" s="233"/>
      <c r="K23" s="233"/>
      <c r="L23" s="233"/>
      <c r="M23" s="233"/>
      <c r="N23" s="233"/>
      <c r="O23" s="233"/>
      <c r="P23" s="233"/>
      <c r="Q23" s="233"/>
      <c r="R23" s="249"/>
      <c r="S23" s="249"/>
      <c r="T23" s="249"/>
    </row>
    <row r="24" spans="1:20" s="243" customFormat="1" ht="22.5" customHeight="1" x14ac:dyDescent="0.2">
      <c r="A24" s="432"/>
      <c r="B24" s="433"/>
      <c r="C24" s="434"/>
      <c r="D24" s="248"/>
      <c r="E24" s="248"/>
      <c r="F24" s="248"/>
      <c r="G24" s="233"/>
      <c r="H24" s="233"/>
      <c r="I24" s="233"/>
      <c r="J24" s="233"/>
      <c r="K24" s="233"/>
      <c r="L24" s="233"/>
      <c r="M24" s="233"/>
      <c r="N24" s="233"/>
      <c r="O24" s="233"/>
      <c r="P24" s="233"/>
      <c r="Q24" s="233"/>
      <c r="R24" s="249"/>
      <c r="S24" s="249"/>
      <c r="T24" s="249"/>
    </row>
    <row r="25" spans="1:20" s="243" customFormat="1" ht="58.5" customHeight="1" x14ac:dyDescent="0.2">
      <c r="A25" s="24" t="s">
        <v>60</v>
      </c>
      <c r="B25" s="148" t="s">
        <v>453</v>
      </c>
      <c r="C25" s="31" t="s">
        <v>542</v>
      </c>
      <c r="D25" s="248"/>
      <c r="E25" s="248"/>
      <c r="F25" s="233"/>
      <c r="G25" s="233"/>
      <c r="H25" s="233"/>
      <c r="I25" s="233"/>
      <c r="J25" s="233"/>
      <c r="K25" s="233"/>
      <c r="L25" s="233"/>
      <c r="M25" s="233"/>
      <c r="N25" s="233"/>
      <c r="O25" s="233"/>
      <c r="P25" s="233"/>
      <c r="Q25" s="249"/>
      <c r="R25" s="249"/>
      <c r="S25" s="249"/>
      <c r="T25" s="249"/>
    </row>
    <row r="26" spans="1:20" s="243" customFormat="1" ht="42.75" customHeight="1" x14ac:dyDescent="0.2">
      <c r="A26" s="24" t="s">
        <v>59</v>
      </c>
      <c r="B26" s="148" t="s">
        <v>72</v>
      </c>
      <c r="C26" s="31" t="s">
        <v>521</v>
      </c>
      <c r="D26" s="248"/>
      <c r="E26" s="248"/>
      <c r="F26" s="233"/>
      <c r="G26" s="233"/>
      <c r="H26" s="233"/>
      <c r="I26" s="233"/>
      <c r="J26" s="233"/>
      <c r="K26" s="233"/>
      <c r="L26" s="233"/>
      <c r="M26" s="233"/>
      <c r="N26" s="233"/>
      <c r="O26" s="233"/>
      <c r="P26" s="233"/>
      <c r="Q26" s="249"/>
      <c r="R26" s="249"/>
      <c r="S26" s="249"/>
      <c r="T26" s="249"/>
    </row>
    <row r="27" spans="1:20" s="243" customFormat="1" ht="126" x14ac:dyDescent="0.2">
      <c r="A27" s="24" t="s">
        <v>57</v>
      </c>
      <c r="B27" s="148" t="s">
        <v>71</v>
      </c>
      <c r="C27" s="305" t="s">
        <v>694</v>
      </c>
      <c r="D27" s="248"/>
      <c r="E27" s="248"/>
      <c r="F27" s="233"/>
      <c r="G27" s="233"/>
      <c r="H27" s="233"/>
      <c r="I27" s="233"/>
      <c r="J27" s="233"/>
      <c r="K27" s="233"/>
      <c r="L27" s="233"/>
      <c r="M27" s="233"/>
      <c r="N27" s="233"/>
      <c r="O27" s="233"/>
      <c r="P27" s="233"/>
      <c r="Q27" s="249"/>
      <c r="R27" s="249"/>
      <c r="S27" s="249"/>
      <c r="T27" s="249"/>
    </row>
    <row r="28" spans="1:20" s="243" customFormat="1" ht="42.75" customHeight="1" x14ac:dyDescent="0.2">
      <c r="A28" s="24" t="s">
        <v>56</v>
      </c>
      <c r="B28" s="148" t="s">
        <v>454</v>
      </c>
      <c r="C28" s="31" t="s">
        <v>523</v>
      </c>
      <c r="D28" s="248"/>
      <c r="E28" s="248"/>
      <c r="F28" s="233"/>
      <c r="G28" s="233"/>
      <c r="H28" s="233"/>
      <c r="I28" s="233"/>
      <c r="J28" s="233"/>
      <c r="K28" s="233"/>
      <c r="L28" s="233"/>
      <c r="M28" s="233"/>
      <c r="N28" s="233"/>
      <c r="O28" s="233"/>
      <c r="P28" s="233"/>
      <c r="Q28" s="249"/>
      <c r="R28" s="249"/>
      <c r="S28" s="249"/>
      <c r="T28" s="249"/>
    </row>
    <row r="29" spans="1:20" s="243" customFormat="1" ht="51.75" customHeight="1" x14ac:dyDescent="0.2">
      <c r="A29" s="24" t="s">
        <v>54</v>
      </c>
      <c r="B29" s="148" t="s">
        <v>455</v>
      </c>
      <c r="C29" s="31" t="s">
        <v>523</v>
      </c>
      <c r="D29" s="248"/>
      <c r="E29" s="248"/>
      <c r="F29" s="233"/>
      <c r="G29" s="233"/>
      <c r="H29" s="233"/>
      <c r="I29" s="233"/>
      <c r="J29" s="233"/>
      <c r="K29" s="233"/>
      <c r="L29" s="233"/>
      <c r="M29" s="233"/>
      <c r="N29" s="233"/>
      <c r="O29" s="233"/>
      <c r="P29" s="233"/>
      <c r="Q29" s="249"/>
      <c r="R29" s="249"/>
      <c r="S29" s="249"/>
      <c r="T29" s="249"/>
    </row>
    <row r="30" spans="1:20" s="243" customFormat="1" ht="51.75" customHeight="1" x14ac:dyDescent="0.2">
      <c r="A30" s="24" t="s">
        <v>52</v>
      </c>
      <c r="B30" s="148" t="s">
        <v>456</v>
      </c>
      <c r="C30" s="31" t="s">
        <v>523</v>
      </c>
      <c r="D30" s="248"/>
      <c r="E30" s="248"/>
      <c r="F30" s="233"/>
      <c r="G30" s="233"/>
      <c r="H30" s="233"/>
      <c r="I30" s="233"/>
      <c r="J30" s="233"/>
      <c r="K30" s="233"/>
      <c r="L30" s="233"/>
      <c r="M30" s="233"/>
      <c r="N30" s="233"/>
      <c r="O30" s="233"/>
      <c r="P30" s="233"/>
      <c r="Q30" s="249"/>
      <c r="R30" s="249"/>
      <c r="S30" s="249"/>
      <c r="T30" s="249"/>
    </row>
    <row r="31" spans="1:20" s="243" customFormat="1" ht="51.75" customHeight="1" x14ac:dyDescent="0.2">
      <c r="A31" s="24" t="s">
        <v>70</v>
      </c>
      <c r="B31" s="148" t="s">
        <v>457</v>
      </c>
      <c r="C31" s="31" t="s">
        <v>523</v>
      </c>
      <c r="D31" s="248"/>
      <c r="E31" s="248"/>
      <c r="F31" s="233"/>
      <c r="G31" s="233"/>
      <c r="H31" s="233"/>
      <c r="I31" s="233"/>
      <c r="J31" s="233"/>
      <c r="K31" s="233"/>
      <c r="L31" s="233"/>
      <c r="M31" s="233"/>
      <c r="N31" s="233"/>
      <c r="O31" s="233"/>
      <c r="P31" s="233"/>
      <c r="Q31" s="249"/>
      <c r="R31" s="249"/>
      <c r="S31" s="249"/>
      <c r="T31" s="249"/>
    </row>
    <row r="32" spans="1:20" s="243" customFormat="1" ht="51.75" customHeight="1" x14ac:dyDescent="0.2">
      <c r="A32" s="24" t="s">
        <v>68</v>
      </c>
      <c r="B32" s="148" t="s">
        <v>458</v>
      </c>
      <c r="C32" s="31" t="s">
        <v>523</v>
      </c>
      <c r="D32" s="248"/>
      <c r="E32" s="248"/>
      <c r="F32" s="233"/>
      <c r="G32" s="233"/>
      <c r="H32" s="233"/>
      <c r="I32" s="233"/>
      <c r="J32" s="233"/>
      <c r="K32" s="233"/>
      <c r="L32" s="233"/>
      <c r="M32" s="233"/>
      <c r="N32" s="233"/>
      <c r="O32" s="233"/>
      <c r="P32" s="233"/>
      <c r="Q32" s="249"/>
      <c r="R32" s="249"/>
      <c r="S32" s="249"/>
      <c r="T32" s="249"/>
    </row>
    <row r="33" spans="1:20" s="243" customFormat="1" ht="101.25" customHeight="1" x14ac:dyDescent="0.2">
      <c r="A33" s="24" t="s">
        <v>67</v>
      </c>
      <c r="B33" s="148" t="s">
        <v>459</v>
      </c>
      <c r="C33" s="31" t="s">
        <v>545</v>
      </c>
      <c r="D33" s="248"/>
      <c r="E33" s="248"/>
      <c r="F33" s="233"/>
      <c r="G33" s="233"/>
      <c r="H33" s="233"/>
      <c r="I33" s="233"/>
      <c r="J33" s="233"/>
      <c r="K33" s="233"/>
      <c r="L33" s="233"/>
      <c r="M33" s="233"/>
      <c r="N33" s="233"/>
      <c r="O33" s="233"/>
      <c r="P33" s="233"/>
      <c r="Q33" s="249"/>
      <c r="R33" s="249"/>
      <c r="S33" s="249"/>
      <c r="T33" s="249"/>
    </row>
    <row r="34" spans="1:20" ht="111" customHeight="1" x14ac:dyDescent="0.25">
      <c r="A34" s="24" t="s">
        <v>473</v>
      </c>
      <c r="B34" s="148" t="s">
        <v>460</v>
      </c>
      <c r="C34" s="31" t="s">
        <v>523</v>
      </c>
      <c r="D34" s="251"/>
      <c r="E34" s="251"/>
      <c r="F34" s="251"/>
      <c r="G34" s="251"/>
      <c r="H34" s="251"/>
      <c r="I34" s="251"/>
      <c r="J34" s="251"/>
      <c r="K34" s="251"/>
      <c r="L34" s="251"/>
      <c r="M34" s="251"/>
      <c r="N34" s="251"/>
      <c r="O34" s="251"/>
      <c r="P34" s="251"/>
      <c r="Q34" s="251"/>
      <c r="R34" s="251"/>
      <c r="S34" s="251"/>
      <c r="T34" s="251"/>
    </row>
    <row r="35" spans="1:20" ht="58.5" customHeight="1" x14ac:dyDescent="0.25">
      <c r="A35" s="24" t="s">
        <v>463</v>
      </c>
      <c r="B35" s="148" t="s">
        <v>69</v>
      </c>
      <c r="C35" s="31" t="s">
        <v>523</v>
      </c>
      <c r="D35" s="251"/>
      <c r="E35" s="251"/>
      <c r="F35" s="251"/>
      <c r="G35" s="251"/>
      <c r="H35" s="251"/>
      <c r="I35" s="251"/>
      <c r="J35" s="251"/>
      <c r="K35" s="251"/>
      <c r="L35" s="251"/>
      <c r="M35" s="251"/>
      <c r="N35" s="251"/>
      <c r="O35" s="251"/>
      <c r="P35" s="251"/>
      <c r="Q35" s="251"/>
      <c r="R35" s="251"/>
      <c r="S35" s="251"/>
      <c r="T35" s="251"/>
    </row>
    <row r="36" spans="1:20" ht="51.75" customHeight="1" x14ac:dyDescent="0.25">
      <c r="A36" s="24" t="s">
        <v>474</v>
      </c>
      <c r="B36" s="148" t="s">
        <v>461</v>
      </c>
      <c r="C36" s="31" t="s">
        <v>523</v>
      </c>
      <c r="D36" s="251"/>
      <c r="E36" s="251"/>
      <c r="F36" s="251"/>
      <c r="G36" s="251"/>
      <c r="H36" s="251"/>
      <c r="I36" s="251"/>
      <c r="J36" s="251"/>
      <c r="K36" s="251"/>
      <c r="L36" s="251"/>
      <c r="M36" s="251"/>
      <c r="N36" s="251"/>
      <c r="O36" s="251"/>
      <c r="P36" s="251"/>
      <c r="Q36" s="251"/>
      <c r="R36" s="251"/>
      <c r="S36" s="251"/>
      <c r="T36" s="251"/>
    </row>
    <row r="37" spans="1:20" ht="43.5" customHeight="1" x14ac:dyDescent="0.25">
      <c r="A37" s="24" t="s">
        <v>464</v>
      </c>
      <c r="B37" s="148" t="s">
        <v>462</v>
      </c>
      <c r="C37" s="31" t="s">
        <v>525</v>
      </c>
      <c r="D37" s="251"/>
      <c r="E37" s="251"/>
      <c r="F37" s="251"/>
      <c r="G37" s="251"/>
      <c r="H37" s="251"/>
      <c r="I37" s="251"/>
      <c r="J37" s="251"/>
      <c r="K37" s="251"/>
      <c r="L37" s="251"/>
      <c r="M37" s="251"/>
      <c r="N37" s="251"/>
      <c r="O37" s="251"/>
      <c r="P37" s="251"/>
      <c r="Q37" s="251"/>
      <c r="R37" s="251"/>
      <c r="S37" s="251"/>
      <c r="T37" s="251"/>
    </row>
    <row r="38" spans="1:20" ht="43.5" customHeight="1" x14ac:dyDescent="0.25">
      <c r="A38" s="24" t="s">
        <v>475</v>
      </c>
      <c r="B38" s="148" t="s">
        <v>226</v>
      </c>
      <c r="C38" s="31" t="s">
        <v>523</v>
      </c>
      <c r="D38" s="251"/>
      <c r="E38" s="251"/>
      <c r="F38" s="251"/>
      <c r="G38" s="251"/>
      <c r="H38" s="251"/>
      <c r="I38" s="251"/>
      <c r="J38" s="251"/>
      <c r="K38" s="251"/>
      <c r="L38" s="251"/>
      <c r="M38" s="251"/>
      <c r="N38" s="251"/>
      <c r="O38" s="251"/>
      <c r="P38" s="251"/>
      <c r="Q38" s="251"/>
      <c r="R38" s="251"/>
      <c r="S38" s="251"/>
      <c r="T38" s="251"/>
    </row>
    <row r="39" spans="1:20" ht="23.25" customHeight="1" x14ac:dyDescent="0.25">
      <c r="A39" s="432"/>
      <c r="B39" s="433"/>
      <c r="C39" s="434"/>
      <c r="D39" s="251"/>
      <c r="E39" s="251"/>
      <c r="F39" s="251"/>
      <c r="G39" s="251"/>
      <c r="H39" s="251"/>
      <c r="I39" s="251"/>
      <c r="J39" s="251"/>
      <c r="K39" s="251"/>
      <c r="L39" s="251"/>
      <c r="M39" s="251"/>
      <c r="N39" s="251"/>
      <c r="O39" s="251"/>
      <c r="P39" s="251"/>
      <c r="Q39" s="251"/>
      <c r="R39" s="251"/>
      <c r="S39" s="251"/>
      <c r="T39" s="251"/>
    </row>
    <row r="40" spans="1:20" ht="78.75" x14ac:dyDescent="0.25">
      <c r="A40" s="24" t="s">
        <v>465</v>
      </c>
      <c r="B40" s="148" t="s">
        <v>516</v>
      </c>
      <c r="C40" s="279" t="s">
        <v>758</v>
      </c>
      <c r="D40" s="251"/>
      <c r="E40" s="251"/>
      <c r="F40" s="251"/>
      <c r="G40" s="251"/>
      <c r="H40" s="251"/>
      <c r="I40" s="251"/>
      <c r="J40" s="251"/>
      <c r="K40" s="251"/>
      <c r="L40" s="251"/>
      <c r="M40" s="251"/>
      <c r="N40" s="251"/>
      <c r="O40" s="251"/>
      <c r="P40" s="251"/>
      <c r="Q40" s="251"/>
      <c r="R40" s="251"/>
      <c r="S40" s="251"/>
      <c r="T40" s="251"/>
    </row>
    <row r="41" spans="1:20" ht="105.75" customHeight="1" x14ac:dyDescent="0.25">
      <c r="A41" s="24" t="s">
        <v>476</v>
      </c>
      <c r="B41" s="148" t="s">
        <v>499</v>
      </c>
      <c r="C41" s="148" t="s">
        <v>525</v>
      </c>
      <c r="D41" s="251"/>
      <c r="E41" s="251"/>
      <c r="F41" s="251"/>
      <c r="G41" s="251"/>
      <c r="H41" s="251"/>
      <c r="I41" s="251"/>
      <c r="J41" s="251"/>
      <c r="K41" s="251"/>
      <c r="L41" s="251"/>
      <c r="M41" s="251"/>
      <c r="N41" s="251"/>
      <c r="O41" s="251"/>
      <c r="P41" s="251"/>
      <c r="Q41" s="251"/>
      <c r="R41" s="251"/>
      <c r="S41" s="251"/>
      <c r="T41" s="251"/>
    </row>
    <row r="42" spans="1:20" ht="83.25" customHeight="1" x14ac:dyDescent="0.25">
      <c r="A42" s="24" t="s">
        <v>466</v>
      </c>
      <c r="B42" s="148" t="s">
        <v>513</v>
      </c>
      <c r="C42" s="148" t="s">
        <v>525</v>
      </c>
      <c r="D42" s="251"/>
      <c r="E42" s="251"/>
      <c r="F42" s="251"/>
      <c r="G42" s="251"/>
      <c r="H42" s="251"/>
      <c r="I42" s="251"/>
      <c r="J42" s="251"/>
      <c r="K42" s="251"/>
      <c r="L42" s="251"/>
      <c r="M42" s="251"/>
      <c r="N42" s="251"/>
      <c r="O42" s="251"/>
      <c r="P42" s="251"/>
      <c r="Q42" s="251"/>
      <c r="R42" s="251"/>
      <c r="S42" s="251"/>
      <c r="T42" s="251"/>
    </row>
    <row r="43" spans="1:20" ht="186" customHeight="1" x14ac:dyDescent="0.25">
      <c r="A43" s="24" t="s">
        <v>479</v>
      </c>
      <c r="B43" s="148" t="s">
        <v>480</v>
      </c>
      <c r="C43" s="148" t="s">
        <v>542</v>
      </c>
      <c r="D43" s="251"/>
      <c r="E43" s="251"/>
      <c r="F43" s="251"/>
      <c r="G43" s="251"/>
      <c r="H43" s="251"/>
      <c r="I43" s="251"/>
      <c r="J43" s="251"/>
      <c r="K43" s="251"/>
      <c r="L43" s="251"/>
      <c r="M43" s="251"/>
      <c r="N43" s="251"/>
      <c r="O43" s="251"/>
      <c r="P43" s="251"/>
      <c r="Q43" s="251"/>
      <c r="R43" s="251"/>
      <c r="S43" s="251"/>
      <c r="T43" s="251"/>
    </row>
    <row r="44" spans="1:20" ht="111" customHeight="1" x14ac:dyDescent="0.25">
      <c r="A44" s="24" t="s">
        <v>467</v>
      </c>
      <c r="B44" s="148" t="s">
        <v>505</v>
      </c>
      <c r="C44" s="148" t="s">
        <v>542</v>
      </c>
      <c r="D44" s="251"/>
      <c r="E44" s="251"/>
      <c r="F44" s="251"/>
      <c r="G44" s="251"/>
      <c r="H44" s="251"/>
      <c r="I44" s="251"/>
      <c r="J44" s="251"/>
      <c r="K44" s="251"/>
      <c r="L44" s="251"/>
      <c r="M44" s="251"/>
      <c r="N44" s="251"/>
      <c r="O44" s="251"/>
      <c r="P44" s="251"/>
      <c r="Q44" s="251"/>
      <c r="R44" s="251"/>
      <c r="S44" s="251"/>
      <c r="T44" s="251"/>
    </row>
    <row r="45" spans="1:20" ht="120" customHeight="1" x14ac:dyDescent="0.25">
      <c r="A45" s="24" t="s">
        <v>500</v>
      </c>
      <c r="B45" s="148" t="s">
        <v>506</v>
      </c>
      <c r="C45" s="148" t="s">
        <v>542</v>
      </c>
      <c r="D45" s="251"/>
      <c r="E45" s="251"/>
      <c r="F45" s="251"/>
      <c r="G45" s="251"/>
      <c r="H45" s="251"/>
      <c r="I45" s="251"/>
      <c r="J45" s="251"/>
      <c r="K45" s="251"/>
      <c r="L45" s="251"/>
      <c r="M45" s="251"/>
      <c r="N45" s="251"/>
      <c r="O45" s="251"/>
      <c r="P45" s="251"/>
      <c r="Q45" s="251"/>
      <c r="R45" s="251"/>
      <c r="S45" s="251"/>
      <c r="T45" s="251"/>
    </row>
    <row r="46" spans="1:20" ht="101.25" customHeight="1" x14ac:dyDescent="0.25">
      <c r="A46" s="24" t="s">
        <v>468</v>
      </c>
      <c r="B46" s="148" t="s">
        <v>507</v>
      </c>
      <c r="C46" s="148" t="s">
        <v>542</v>
      </c>
      <c r="D46" s="251"/>
      <c r="E46" s="251"/>
      <c r="F46" s="251"/>
      <c r="G46" s="251"/>
      <c r="H46" s="251"/>
      <c r="I46" s="251"/>
      <c r="J46" s="251"/>
      <c r="K46" s="251"/>
      <c r="L46" s="251"/>
      <c r="M46" s="251"/>
      <c r="N46" s="251"/>
      <c r="O46" s="251"/>
      <c r="P46" s="251"/>
      <c r="Q46" s="251"/>
      <c r="R46" s="251"/>
      <c r="S46" s="251"/>
      <c r="T46" s="251"/>
    </row>
    <row r="47" spans="1:20" ht="18.75" customHeight="1" x14ac:dyDescent="0.25">
      <c r="A47" s="432"/>
      <c r="B47" s="433"/>
      <c r="C47" s="434"/>
      <c r="D47" s="251"/>
      <c r="E47" s="251"/>
      <c r="F47" s="251"/>
      <c r="G47" s="251"/>
      <c r="H47" s="251"/>
      <c r="I47" s="251"/>
      <c r="J47" s="251"/>
      <c r="K47" s="251"/>
      <c r="L47" s="251"/>
      <c r="M47" s="251"/>
      <c r="N47" s="251"/>
      <c r="O47" s="251"/>
      <c r="P47" s="251"/>
      <c r="Q47" s="251"/>
      <c r="R47" s="251"/>
      <c r="S47" s="251"/>
      <c r="T47" s="251"/>
    </row>
    <row r="48" spans="1:20" ht="75.75" customHeight="1" x14ac:dyDescent="0.25">
      <c r="A48" s="24" t="s">
        <v>501</v>
      </c>
      <c r="B48" s="148" t="s">
        <v>514</v>
      </c>
      <c r="C48" s="253" t="str">
        <f>CONCATENATE(ROUND('6.2. Паспорт фин осв ввод'!U24,2)," млн рублей")</f>
        <v>95.7 млн рублей</v>
      </c>
      <c r="D48" s="251"/>
      <c r="E48" s="251"/>
      <c r="F48" s="251"/>
      <c r="G48" s="251"/>
      <c r="H48" s="251"/>
      <c r="I48" s="251"/>
      <c r="J48" s="251"/>
      <c r="K48" s="251"/>
      <c r="L48" s="251"/>
      <c r="M48" s="251"/>
      <c r="N48" s="251"/>
      <c r="O48" s="251"/>
      <c r="P48" s="251"/>
      <c r="Q48" s="251"/>
      <c r="R48" s="251"/>
      <c r="S48" s="251"/>
      <c r="T48" s="251"/>
    </row>
    <row r="49" spans="1:20" ht="71.25" customHeight="1" x14ac:dyDescent="0.25">
      <c r="A49" s="24" t="s">
        <v>469</v>
      </c>
      <c r="B49" s="148" t="s">
        <v>515</v>
      </c>
      <c r="C49" s="253" t="str">
        <f>CONCATENATE(ROUND('6.2. Паспорт фин осв ввод'!U30,2)," млн рублей")</f>
        <v>0 млн рублей</v>
      </c>
      <c r="D49" s="251"/>
      <c r="E49" s="251"/>
      <c r="F49" s="251"/>
      <c r="G49" s="251"/>
      <c r="H49" s="251"/>
      <c r="I49" s="251"/>
      <c r="J49" s="251"/>
      <c r="K49" s="251"/>
      <c r="L49" s="251"/>
      <c r="M49" s="251"/>
      <c r="N49" s="251"/>
      <c r="O49" s="251"/>
      <c r="P49" s="251"/>
      <c r="Q49" s="251"/>
      <c r="R49" s="251"/>
      <c r="S49" s="251"/>
      <c r="T49" s="251"/>
    </row>
    <row r="50" spans="1:20" x14ac:dyDescent="0.25">
      <c r="A50" s="251"/>
      <c r="B50" s="251"/>
      <c r="C50" s="251"/>
      <c r="D50" s="251"/>
      <c r="E50" s="251"/>
      <c r="F50" s="251"/>
      <c r="G50" s="251"/>
      <c r="H50" s="251"/>
      <c r="I50" s="251"/>
      <c r="J50" s="251"/>
      <c r="K50" s="251"/>
      <c r="L50" s="251"/>
      <c r="M50" s="251"/>
      <c r="N50" s="251"/>
      <c r="O50" s="251"/>
      <c r="P50" s="251"/>
      <c r="Q50" s="251"/>
      <c r="R50" s="251"/>
      <c r="S50" s="251"/>
      <c r="T50" s="251"/>
    </row>
    <row r="51" spans="1:20" x14ac:dyDescent="0.25">
      <c r="A51" s="251"/>
      <c r="B51" s="251"/>
      <c r="C51" s="251"/>
      <c r="D51" s="251"/>
      <c r="E51" s="251"/>
      <c r="F51" s="251"/>
      <c r="G51" s="251"/>
      <c r="H51" s="251"/>
      <c r="I51" s="251"/>
      <c r="J51" s="251"/>
      <c r="K51" s="251"/>
      <c r="L51" s="251"/>
      <c r="M51" s="251"/>
      <c r="N51" s="251"/>
      <c r="O51" s="251"/>
      <c r="P51" s="251"/>
      <c r="Q51" s="251"/>
      <c r="R51" s="251"/>
      <c r="S51" s="251"/>
      <c r="T51" s="251"/>
    </row>
    <row r="52" spans="1:20" x14ac:dyDescent="0.25">
      <c r="A52" s="251"/>
      <c r="B52" s="251"/>
      <c r="C52" s="251"/>
      <c r="D52" s="251"/>
      <c r="E52" s="251"/>
      <c r="F52" s="251"/>
      <c r="G52" s="251"/>
      <c r="H52" s="251"/>
      <c r="I52" s="251"/>
      <c r="J52" s="251"/>
      <c r="K52" s="251"/>
      <c r="L52" s="251"/>
      <c r="M52" s="251"/>
      <c r="N52" s="251"/>
      <c r="O52" s="251"/>
      <c r="P52" s="251"/>
      <c r="Q52" s="251"/>
      <c r="R52" s="251"/>
      <c r="S52" s="251"/>
      <c r="T52" s="251"/>
    </row>
    <row r="53" spans="1:20" x14ac:dyDescent="0.25">
      <c r="A53" s="251"/>
      <c r="B53" s="251"/>
      <c r="C53" s="251"/>
      <c r="D53" s="251"/>
      <c r="E53" s="251"/>
      <c r="F53" s="251"/>
      <c r="G53" s="251"/>
      <c r="H53" s="251"/>
      <c r="I53" s="251"/>
      <c r="J53" s="251"/>
      <c r="K53" s="251"/>
      <c r="L53" s="251"/>
      <c r="M53" s="251"/>
      <c r="N53" s="251"/>
      <c r="O53" s="251"/>
      <c r="P53" s="251"/>
      <c r="Q53" s="251"/>
      <c r="R53" s="251"/>
      <c r="S53" s="251"/>
      <c r="T53" s="251"/>
    </row>
    <row r="54" spans="1:20" x14ac:dyDescent="0.25">
      <c r="A54" s="251"/>
      <c r="B54" s="251"/>
      <c r="C54" s="251"/>
      <c r="D54" s="251"/>
      <c r="E54" s="251"/>
      <c r="F54" s="251"/>
      <c r="G54" s="251"/>
      <c r="H54" s="251"/>
      <c r="I54" s="251"/>
      <c r="J54" s="251"/>
      <c r="K54" s="251"/>
      <c r="L54" s="251"/>
      <c r="M54" s="251"/>
      <c r="N54" s="251"/>
      <c r="O54" s="251"/>
      <c r="P54" s="251"/>
      <c r="Q54" s="251"/>
      <c r="R54" s="251"/>
      <c r="S54" s="251"/>
      <c r="T54" s="251"/>
    </row>
    <row r="55" spans="1:20" x14ac:dyDescent="0.25">
      <c r="A55" s="251"/>
      <c r="B55" s="251"/>
      <c r="C55" s="251"/>
      <c r="D55" s="251"/>
      <c r="E55" s="251"/>
      <c r="F55" s="251"/>
      <c r="G55" s="251"/>
      <c r="H55" s="251"/>
      <c r="I55" s="251"/>
      <c r="J55" s="251"/>
      <c r="K55" s="251"/>
      <c r="L55" s="251"/>
      <c r="M55" s="251"/>
      <c r="N55" s="251"/>
      <c r="O55" s="251"/>
      <c r="P55" s="251"/>
      <c r="Q55" s="251"/>
      <c r="R55" s="251"/>
      <c r="S55" s="251"/>
      <c r="T55" s="251"/>
    </row>
    <row r="56" spans="1:20" x14ac:dyDescent="0.25">
      <c r="A56" s="251"/>
      <c r="B56" s="251"/>
      <c r="C56" s="251"/>
      <c r="D56" s="251"/>
      <c r="E56" s="251"/>
      <c r="F56" s="251"/>
      <c r="G56" s="251"/>
      <c r="H56" s="251"/>
      <c r="I56" s="251"/>
      <c r="J56" s="251"/>
      <c r="K56" s="251"/>
      <c r="L56" s="251"/>
      <c r="M56" s="251"/>
      <c r="N56" s="251"/>
      <c r="O56" s="251"/>
      <c r="P56" s="251"/>
      <c r="Q56" s="251"/>
      <c r="R56" s="251"/>
      <c r="S56" s="251"/>
      <c r="T56" s="251"/>
    </row>
    <row r="57" spans="1:20" x14ac:dyDescent="0.25">
      <c r="A57" s="251"/>
      <c r="B57" s="251"/>
      <c r="C57" s="251"/>
      <c r="D57" s="251"/>
      <c r="E57" s="251"/>
      <c r="F57" s="251"/>
      <c r="G57" s="251"/>
      <c r="H57" s="251"/>
      <c r="I57" s="251"/>
      <c r="J57" s="251"/>
      <c r="K57" s="251"/>
      <c r="L57" s="251"/>
      <c r="M57" s="251"/>
      <c r="N57" s="251"/>
      <c r="O57" s="251"/>
      <c r="P57" s="251"/>
      <c r="Q57" s="251"/>
      <c r="R57" s="251"/>
      <c r="S57" s="251"/>
      <c r="T57" s="251"/>
    </row>
    <row r="58" spans="1:20" x14ac:dyDescent="0.25">
      <c r="A58" s="251"/>
      <c r="B58" s="251"/>
      <c r="C58" s="251"/>
      <c r="D58" s="251"/>
      <c r="E58" s="251"/>
      <c r="F58" s="251"/>
      <c r="G58" s="251"/>
      <c r="H58" s="251"/>
      <c r="I58" s="251"/>
      <c r="J58" s="251"/>
      <c r="K58" s="251"/>
      <c r="L58" s="251"/>
      <c r="M58" s="251"/>
      <c r="N58" s="251"/>
      <c r="O58" s="251"/>
      <c r="P58" s="251"/>
      <c r="Q58" s="251"/>
      <c r="R58" s="251"/>
      <c r="S58" s="251"/>
      <c r="T58" s="251"/>
    </row>
    <row r="59" spans="1:20" x14ac:dyDescent="0.25">
      <c r="A59" s="251"/>
      <c r="B59" s="251"/>
      <c r="C59" s="251"/>
      <c r="D59" s="251"/>
      <c r="E59" s="251"/>
      <c r="F59" s="251"/>
      <c r="G59" s="251"/>
      <c r="H59" s="251"/>
      <c r="I59" s="251"/>
      <c r="J59" s="251"/>
      <c r="K59" s="251"/>
      <c r="L59" s="251"/>
      <c r="M59" s="251"/>
      <c r="N59" s="251"/>
      <c r="O59" s="251"/>
      <c r="P59" s="251"/>
      <c r="Q59" s="251"/>
      <c r="R59" s="251"/>
      <c r="S59" s="251"/>
      <c r="T59" s="251"/>
    </row>
    <row r="60" spans="1:20" x14ac:dyDescent="0.25">
      <c r="A60" s="251"/>
      <c r="B60" s="251"/>
      <c r="C60" s="251"/>
      <c r="D60" s="251"/>
      <c r="E60" s="251"/>
      <c r="F60" s="251"/>
      <c r="G60" s="251"/>
      <c r="H60" s="251"/>
      <c r="I60" s="251"/>
      <c r="J60" s="251"/>
      <c r="K60" s="251"/>
      <c r="L60" s="251"/>
      <c r="M60" s="251"/>
      <c r="N60" s="251"/>
      <c r="O60" s="251"/>
      <c r="P60" s="251"/>
      <c r="Q60" s="251"/>
      <c r="R60" s="251"/>
      <c r="S60" s="251"/>
      <c r="T60" s="251"/>
    </row>
    <row r="61" spans="1:20" x14ac:dyDescent="0.25">
      <c r="A61" s="251"/>
      <c r="B61" s="251"/>
      <c r="C61" s="251"/>
      <c r="D61" s="251"/>
      <c r="E61" s="251"/>
      <c r="F61" s="251"/>
      <c r="G61" s="251"/>
      <c r="H61" s="251"/>
      <c r="I61" s="251"/>
      <c r="J61" s="251"/>
      <c r="K61" s="251"/>
      <c r="L61" s="251"/>
      <c r="M61" s="251"/>
      <c r="N61" s="251"/>
      <c r="O61" s="251"/>
      <c r="P61" s="251"/>
      <c r="Q61" s="251"/>
      <c r="R61" s="251"/>
      <c r="S61" s="251"/>
      <c r="T61" s="251"/>
    </row>
    <row r="62" spans="1:20" x14ac:dyDescent="0.25">
      <c r="A62" s="251"/>
      <c r="B62" s="251"/>
      <c r="C62" s="251"/>
      <c r="D62" s="251"/>
      <c r="E62" s="251"/>
      <c r="F62" s="251"/>
      <c r="G62" s="251"/>
      <c r="H62" s="251"/>
      <c r="I62" s="251"/>
      <c r="J62" s="251"/>
      <c r="K62" s="251"/>
      <c r="L62" s="251"/>
      <c r="M62" s="251"/>
      <c r="N62" s="251"/>
      <c r="O62" s="251"/>
      <c r="P62" s="251"/>
      <c r="Q62" s="251"/>
      <c r="R62" s="251"/>
      <c r="S62" s="251"/>
      <c r="T62" s="251"/>
    </row>
    <row r="63" spans="1:20" x14ac:dyDescent="0.25">
      <c r="A63" s="251"/>
      <c r="B63" s="251"/>
      <c r="C63" s="251"/>
      <c r="D63" s="251"/>
      <c r="E63" s="251"/>
      <c r="F63" s="251"/>
      <c r="G63" s="251"/>
      <c r="H63" s="251"/>
      <c r="I63" s="251"/>
      <c r="J63" s="251"/>
      <c r="K63" s="251"/>
      <c r="L63" s="251"/>
      <c r="M63" s="251"/>
      <c r="N63" s="251"/>
      <c r="O63" s="251"/>
      <c r="P63" s="251"/>
      <c r="Q63" s="251"/>
      <c r="R63" s="251"/>
      <c r="S63" s="251"/>
      <c r="T63" s="251"/>
    </row>
    <row r="64" spans="1:20" x14ac:dyDescent="0.25">
      <c r="A64" s="251"/>
      <c r="B64" s="251"/>
      <c r="C64" s="251"/>
      <c r="D64" s="251"/>
      <c r="E64" s="251"/>
      <c r="F64" s="251"/>
      <c r="G64" s="251"/>
      <c r="H64" s="251"/>
      <c r="I64" s="251"/>
      <c r="J64" s="251"/>
      <c r="K64" s="251"/>
      <c r="L64" s="251"/>
      <c r="M64" s="251"/>
      <c r="N64" s="251"/>
      <c r="O64" s="251"/>
      <c r="P64" s="251"/>
      <c r="Q64" s="251"/>
      <c r="R64" s="251"/>
      <c r="S64" s="251"/>
      <c r="T64" s="251"/>
    </row>
    <row r="65" spans="1:20" x14ac:dyDescent="0.25">
      <c r="A65" s="251"/>
      <c r="B65" s="251"/>
      <c r="C65" s="251"/>
      <c r="D65" s="251"/>
      <c r="E65" s="251"/>
      <c r="F65" s="251"/>
      <c r="G65" s="251"/>
      <c r="H65" s="251"/>
      <c r="I65" s="251"/>
      <c r="J65" s="251"/>
      <c r="K65" s="251"/>
      <c r="L65" s="251"/>
      <c r="M65" s="251"/>
      <c r="N65" s="251"/>
      <c r="O65" s="251"/>
      <c r="P65" s="251"/>
      <c r="Q65" s="251"/>
      <c r="R65" s="251"/>
      <c r="S65" s="251"/>
      <c r="T65" s="251"/>
    </row>
    <row r="66" spans="1:20" x14ac:dyDescent="0.25">
      <c r="A66" s="251"/>
      <c r="B66" s="251"/>
      <c r="C66" s="251"/>
      <c r="D66" s="251"/>
      <c r="E66" s="251"/>
      <c r="F66" s="251"/>
      <c r="G66" s="251"/>
      <c r="H66" s="251"/>
      <c r="I66" s="251"/>
      <c r="J66" s="251"/>
      <c r="K66" s="251"/>
      <c r="L66" s="251"/>
      <c r="M66" s="251"/>
      <c r="N66" s="251"/>
      <c r="O66" s="251"/>
      <c r="P66" s="251"/>
      <c r="Q66" s="251"/>
      <c r="R66" s="251"/>
      <c r="S66" s="251"/>
      <c r="T66" s="251"/>
    </row>
    <row r="67" spans="1:20" x14ac:dyDescent="0.25">
      <c r="A67" s="251"/>
      <c r="B67" s="251"/>
      <c r="C67" s="251"/>
      <c r="D67" s="251"/>
      <c r="E67" s="251"/>
      <c r="F67" s="251"/>
      <c r="G67" s="251"/>
      <c r="H67" s="251"/>
      <c r="I67" s="251"/>
      <c r="J67" s="251"/>
      <c r="K67" s="251"/>
      <c r="L67" s="251"/>
      <c r="M67" s="251"/>
      <c r="N67" s="251"/>
      <c r="O67" s="251"/>
      <c r="P67" s="251"/>
      <c r="Q67" s="251"/>
      <c r="R67" s="251"/>
      <c r="S67" s="251"/>
      <c r="T67" s="251"/>
    </row>
    <row r="68" spans="1:20" x14ac:dyDescent="0.25">
      <c r="A68" s="251"/>
      <c r="B68" s="251"/>
      <c r="C68" s="251"/>
      <c r="D68" s="251"/>
      <c r="E68" s="251"/>
      <c r="F68" s="251"/>
      <c r="G68" s="251"/>
      <c r="H68" s="251"/>
      <c r="I68" s="251"/>
      <c r="J68" s="251"/>
      <c r="K68" s="251"/>
      <c r="L68" s="251"/>
      <c r="M68" s="251"/>
      <c r="N68" s="251"/>
      <c r="O68" s="251"/>
      <c r="P68" s="251"/>
      <c r="Q68" s="251"/>
      <c r="R68" s="251"/>
      <c r="S68" s="251"/>
      <c r="T68" s="251"/>
    </row>
    <row r="69" spans="1:20" x14ac:dyDescent="0.25">
      <c r="A69" s="251"/>
      <c r="B69" s="251"/>
      <c r="C69" s="251"/>
      <c r="D69" s="251"/>
      <c r="E69" s="251"/>
      <c r="F69" s="251"/>
      <c r="G69" s="251"/>
      <c r="H69" s="251"/>
      <c r="I69" s="251"/>
      <c r="J69" s="251"/>
      <c r="K69" s="251"/>
      <c r="L69" s="251"/>
      <c r="M69" s="251"/>
      <c r="N69" s="251"/>
      <c r="O69" s="251"/>
      <c r="P69" s="251"/>
      <c r="Q69" s="251"/>
      <c r="R69" s="251"/>
      <c r="S69" s="251"/>
      <c r="T69" s="251"/>
    </row>
    <row r="70" spans="1:20" x14ac:dyDescent="0.25">
      <c r="A70" s="251"/>
      <c r="B70" s="251"/>
      <c r="C70" s="251"/>
      <c r="D70" s="251"/>
      <c r="E70" s="251"/>
      <c r="F70" s="251"/>
      <c r="G70" s="251"/>
      <c r="H70" s="251"/>
      <c r="I70" s="251"/>
      <c r="J70" s="251"/>
      <c r="K70" s="251"/>
      <c r="L70" s="251"/>
      <c r="M70" s="251"/>
      <c r="N70" s="251"/>
      <c r="O70" s="251"/>
      <c r="P70" s="251"/>
      <c r="Q70" s="251"/>
      <c r="R70" s="251"/>
      <c r="S70" s="251"/>
      <c r="T70" s="251"/>
    </row>
    <row r="71" spans="1:20" x14ac:dyDescent="0.25">
      <c r="A71" s="251"/>
      <c r="B71" s="251"/>
      <c r="C71" s="251"/>
      <c r="D71" s="251"/>
      <c r="E71" s="251"/>
      <c r="F71" s="251"/>
      <c r="G71" s="251"/>
      <c r="H71" s="251"/>
      <c r="I71" s="251"/>
      <c r="J71" s="251"/>
      <c r="K71" s="251"/>
      <c r="L71" s="251"/>
      <c r="M71" s="251"/>
      <c r="N71" s="251"/>
      <c r="O71" s="251"/>
      <c r="P71" s="251"/>
      <c r="Q71" s="251"/>
      <c r="R71" s="251"/>
      <c r="S71" s="251"/>
      <c r="T71" s="251"/>
    </row>
    <row r="72" spans="1:20" x14ac:dyDescent="0.25">
      <c r="A72" s="251"/>
      <c r="B72" s="251"/>
      <c r="C72" s="251"/>
      <c r="D72" s="251"/>
      <c r="E72" s="251"/>
      <c r="F72" s="251"/>
      <c r="G72" s="251"/>
      <c r="H72" s="251"/>
      <c r="I72" s="251"/>
      <c r="J72" s="251"/>
      <c r="K72" s="251"/>
      <c r="L72" s="251"/>
      <c r="M72" s="251"/>
      <c r="N72" s="251"/>
      <c r="O72" s="251"/>
      <c r="P72" s="251"/>
      <c r="Q72" s="251"/>
      <c r="R72" s="251"/>
      <c r="S72" s="251"/>
      <c r="T72" s="251"/>
    </row>
    <row r="73" spans="1:20" x14ac:dyDescent="0.25">
      <c r="A73" s="251"/>
      <c r="B73" s="251"/>
      <c r="C73" s="251"/>
      <c r="D73" s="251"/>
      <c r="E73" s="251"/>
      <c r="F73" s="251"/>
      <c r="G73" s="251"/>
      <c r="H73" s="251"/>
      <c r="I73" s="251"/>
      <c r="J73" s="251"/>
      <c r="K73" s="251"/>
      <c r="L73" s="251"/>
      <c r="M73" s="251"/>
      <c r="N73" s="251"/>
      <c r="O73" s="251"/>
      <c r="P73" s="251"/>
      <c r="Q73" s="251"/>
      <c r="R73" s="251"/>
      <c r="S73" s="251"/>
      <c r="T73" s="251"/>
    </row>
    <row r="74" spans="1:20" x14ac:dyDescent="0.25">
      <c r="A74" s="251"/>
      <c r="B74" s="251"/>
      <c r="C74" s="251"/>
      <c r="D74" s="251"/>
      <c r="E74" s="251"/>
      <c r="F74" s="251"/>
      <c r="G74" s="251"/>
      <c r="H74" s="251"/>
      <c r="I74" s="251"/>
      <c r="J74" s="251"/>
      <c r="K74" s="251"/>
      <c r="L74" s="251"/>
      <c r="M74" s="251"/>
      <c r="N74" s="251"/>
      <c r="O74" s="251"/>
      <c r="P74" s="251"/>
      <c r="Q74" s="251"/>
      <c r="R74" s="251"/>
      <c r="S74" s="251"/>
      <c r="T74" s="251"/>
    </row>
    <row r="75" spans="1:20" x14ac:dyDescent="0.25">
      <c r="A75" s="251"/>
      <c r="B75" s="251"/>
      <c r="C75" s="251"/>
      <c r="D75" s="251"/>
      <c r="E75" s="251"/>
      <c r="F75" s="251"/>
      <c r="G75" s="251"/>
      <c r="H75" s="251"/>
      <c r="I75" s="251"/>
      <c r="J75" s="251"/>
      <c r="K75" s="251"/>
      <c r="L75" s="251"/>
      <c r="M75" s="251"/>
      <c r="N75" s="251"/>
      <c r="O75" s="251"/>
      <c r="P75" s="251"/>
      <c r="Q75" s="251"/>
      <c r="R75" s="251"/>
      <c r="S75" s="251"/>
      <c r="T75" s="251"/>
    </row>
    <row r="76" spans="1:20" x14ac:dyDescent="0.25">
      <c r="A76" s="251"/>
      <c r="B76" s="251"/>
      <c r="C76" s="251"/>
      <c r="D76" s="251"/>
      <c r="E76" s="251"/>
      <c r="F76" s="251"/>
      <c r="G76" s="251"/>
      <c r="H76" s="251"/>
      <c r="I76" s="251"/>
      <c r="J76" s="251"/>
      <c r="K76" s="251"/>
      <c r="L76" s="251"/>
      <c r="M76" s="251"/>
      <c r="N76" s="251"/>
      <c r="O76" s="251"/>
      <c r="P76" s="251"/>
      <c r="Q76" s="251"/>
      <c r="R76" s="251"/>
      <c r="S76" s="251"/>
      <c r="T76" s="251"/>
    </row>
    <row r="77" spans="1:20" x14ac:dyDescent="0.25">
      <c r="A77" s="251"/>
      <c r="B77" s="251"/>
      <c r="C77" s="251"/>
      <c r="D77" s="251"/>
      <c r="E77" s="251"/>
      <c r="F77" s="251"/>
      <c r="G77" s="251"/>
      <c r="H77" s="251"/>
      <c r="I77" s="251"/>
      <c r="J77" s="251"/>
      <c r="K77" s="251"/>
      <c r="L77" s="251"/>
      <c r="M77" s="251"/>
      <c r="N77" s="251"/>
      <c r="O77" s="251"/>
      <c r="P77" s="251"/>
      <c r="Q77" s="251"/>
      <c r="R77" s="251"/>
      <c r="S77" s="251"/>
      <c r="T77" s="251"/>
    </row>
    <row r="78" spans="1:20" x14ac:dyDescent="0.25">
      <c r="A78" s="251"/>
      <c r="B78" s="251"/>
      <c r="C78" s="251"/>
      <c r="D78" s="251"/>
      <c r="E78" s="251"/>
      <c r="F78" s="251"/>
      <c r="G78" s="251"/>
      <c r="H78" s="251"/>
      <c r="I78" s="251"/>
      <c r="J78" s="251"/>
      <c r="K78" s="251"/>
      <c r="L78" s="251"/>
      <c r="M78" s="251"/>
      <c r="N78" s="251"/>
      <c r="O78" s="251"/>
      <c r="P78" s="251"/>
      <c r="Q78" s="251"/>
      <c r="R78" s="251"/>
      <c r="S78" s="251"/>
      <c r="T78" s="251"/>
    </row>
    <row r="79" spans="1:20" x14ac:dyDescent="0.25">
      <c r="A79" s="251"/>
      <c r="B79" s="251"/>
      <c r="C79" s="251"/>
      <c r="D79" s="251"/>
      <c r="E79" s="251"/>
      <c r="F79" s="251"/>
      <c r="G79" s="251"/>
      <c r="H79" s="251"/>
      <c r="I79" s="251"/>
      <c r="J79" s="251"/>
      <c r="K79" s="251"/>
      <c r="L79" s="251"/>
      <c r="M79" s="251"/>
      <c r="N79" s="251"/>
      <c r="O79" s="251"/>
      <c r="P79" s="251"/>
      <c r="Q79" s="251"/>
      <c r="R79" s="251"/>
      <c r="S79" s="251"/>
      <c r="T79" s="251"/>
    </row>
    <row r="80" spans="1:20" x14ac:dyDescent="0.25">
      <c r="A80" s="251"/>
      <c r="B80" s="251"/>
      <c r="C80" s="251"/>
      <c r="D80" s="251"/>
      <c r="E80" s="251"/>
      <c r="F80" s="251"/>
      <c r="G80" s="251"/>
      <c r="H80" s="251"/>
      <c r="I80" s="251"/>
      <c r="J80" s="251"/>
      <c r="K80" s="251"/>
      <c r="L80" s="251"/>
      <c r="M80" s="251"/>
      <c r="N80" s="251"/>
      <c r="O80" s="251"/>
      <c r="P80" s="251"/>
      <c r="Q80" s="251"/>
      <c r="R80" s="251"/>
      <c r="S80" s="251"/>
      <c r="T80" s="251"/>
    </row>
    <row r="81" spans="1:20" x14ac:dyDescent="0.25">
      <c r="A81" s="251"/>
      <c r="B81" s="251"/>
      <c r="C81" s="251"/>
      <c r="D81" s="251"/>
      <c r="E81" s="251"/>
      <c r="F81" s="251"/>
      <c r="G81" s="251"/>
      <c r="H81" s="251"/>
      <c r="I81" s="251"/>
      <c r="J81" s="251"/>
      <c r="K81" s="251"/>
      <c r="L81" s="251"/>
      <c r="M81" s="251"/>
      <c r="N81" s="251"/>
      <c r="O81" s="251"/>
      <c r="P81" s="251"/>
      <c r="Q81" s="251"/>
      <c r="R81" s="251"/>
      <c r="S81" s="251"/>
      <c r="T81" s="251"/>
    </row>
    <row r="82" spans="1:20" x14ac:dyDescent="0.25">
      <c r="A82" s="251"/>
      <c r="B82" s="251"/>
      <c r="C82" s="251"/>
      <c r="D82" s="251"/>
      <c r="E82" s="251"/>
      <c r="F82" s="251"/>
      <c r="G82" s="251"/>
      <c r="H82" s="251"/>
      <c r="I82" s="251"/>
      <c r="J82" s="251"/>
      <c r="K82" s="251"/>
      <c r="L82" s="251"/>
      <c r="M82" s="251"/>
      <c r="N82" s="251"/>
      <c r="O82" s="251"/>
      <c r="P82" s="251"/>
      <c r="Q82" s="251"/>
      <c r="R82" s="251"/>
      <c r="S82" s="251"/>
      <c r="T82" s="251"/>
    </row>
    <row r="83" spans="1:20" x14ac:dyDescent="0.25">
      <c r="A83" s="251"/>
      <c r="B83" s="251"/>
      <c r="C83" s="251"/>
      <c r="D83" s="251"/>
      <c r="E83" s="251"/>
      <c r="F83" s="251"/>
      <c r="G83" s="251"/>
      <c r="H83" s="251"/>
      <c r="I83" s="251"/>
      <c r="J83" s="251"/>
      <c r="K83" s="251"/>
      <c r="L83" s="251"/>
      <c r="M83" s="251"/>
      <c r="N83" s="251"/>
      <c r="O83" s="251"/>
      <c r="P83" s="251"/>
      <c r="Q83" s="251"/>
      <c r="R83" s="251"/>
      <c r="S83" s="251"/>
      <c r="T83" s="251"/>
    </row>
    <row r="84" spans="1:20" x14ac:dyDescent="0.25">
      <c r="A84" s="251"/>
      <c r="B84" s="251"/>
      <c r="C84" s="251"/>
      <c r="D84" s="251"/>
      <c r="E84" s="251"/>
      <c r="F84" s="251"/>
      <c r="G84" s="251"/>
      <c r="H84" s="251"/>
      <c r="I84" s="251"/>
      <c r="J84" s="251"/>
      <c r="K84" s="251"/>
      <c r="L84" s="251"/>
      <c r="M84" s="251"/>
      <c r="N84" s="251"/>
      <c r="O84" s="251"/>
      <c r="P84" s="251"/>
      <c r="Q84" s="251"/>
      <c r="R84" s="251"/>
      <c r="S84" s="251"/>
      <c r="T84" s="251"/>
    </row>
    <row r="85" spans="1:20" x14ac:dyDescent="0.25">
      <c r="A85" s="251"/>
      <c r="B85" s="251"/>
      <c r="C85" s="251"/>
      <c r="D85" s="251"/>
      <c r="E85" s="251"/>
      <c r="F85" s="251"/>
      <c r="G85" s="251"/>
      <c r="H85" s="251"/>
      <c r="I85" s="251"/>
      <c r="J85" s="251"/>
      <c r="K85" s="251"/>
      <c r="L85" s="251"/>
      <c r="M85" s="251"/>
      <c r="N85" s="251"/>
      <c r="O85" s="251"/>
      <c r="P85" s="251"/>
      <c r="Q85" s="251"/>
      <c r="R85" s="251"/>
      <c r="S85" s="251"/>
      <c r="T85" s="251"/>
    </row>
    <row r="86" spans="1:20" x14ac:dyDescent="0.25">
      <c r="A86" s="251"/>
      <c r="B86" s="251"/>
      <c r="C86" s="251"/>
      <c r="D86" s="251"/>
      <c r="E86" s="251"/>
      <c r="F86" s="251"/>
      <c r="G86" s="251"/>
      <c r="H86" s="251"/>
      <c r="I86" s="251"/>
      <c r="J86" s="251"/>
      <c r="K86" s="251"/>
      <c r="L86" s="251"/>
      <c r="M86" s="251"/>
      <c r="N86" s="251"/>
      <c r="O86" s="251"/>
      <c r="P86" s="251"/>
      <c r="Q86" s="251"/>
      <c r="R86" s="251"/>
      <c r="S86" s="251"/>
      <c r="T86" s="251"/>
    </row>
    <row r="87" spans="1:20" x14ac:dyDescent="0.25">
      <c r="A87" s="251"/>
      <c r="B87" s="251"/>
      <c r="C87" s="251"/>
      <c r="D87" s="251"/>
      <c r="E87" s="251"/>
      <c r="F87" s="251"/>
      <c r="G87" s="251"/>
      <c r="H87" s="251"/>
      <c r="I87" s="251"/>
      <c r="J87" s="251"/>
      <c r="K87" s="251"/>
      <c r="L87" s="251"/>
      <c r="M87" s="251"/>
      <c r="N87" s="251"/>
      <c r="O87" s="251"/>
      <c r="P87" s="251"/>
      <c r="Q87" s="251"/>
      <c r="R87" s="251"/>
      <c r="S87" s="251"/>
      <c r="T87" s="251"/>
    </row>
    <row r="88" spans="1:20" x14ac:dyDescent="0.25">
      <c r="A88" s="251"/>
      <c r="B88" s="251"/>
      <c r="C88" s="251"/>
      <c r="D88" s="251"/>
      <c r="E88" s="251"/>
      <c r="F88" s="251"/>
      <c r="G88" s="251"/>
      <c r="H88" s="251"/>
      <c r="I88" s="251"/>
      <c r="J88" s="251"/>
      <c r="K88" s="251"/>
      <c r="L88" s="251"/>
      <c r="M88" s="251"/>
      <c r="N88" s="251"/>
      <c r="O88" s="251"/>
      <c r="P88" s="251"/>
      <c r="Q88" s="251"/>
      <c r="R88" s="251"/>
      <c r="S88" s="251"/>
      <c r="T88" s="251"/>
    </row>
    <row r="89" spans="1:20" x14ac:dyDescent="0.25">
      <c r="A89" s="251"/>
      <c r="B89" s="251"/>
      <c r="C89" s="251"/>
      <c r="D89" s="251"/>
      <c r="E89" s="251"/>
      <c r="F89" s="251"/>
      <c r="G89" s="251"/>
      <c r="H89" s="251"/>
      <c r="I89" s="251"/>
      <c r="J89" s="251"/>
      <c r="K89" s="251"/>
      <c r="L89" s="251"/>
      <c r="M89" s="251"/>
      <c r="N89" s="251"/>
      <c r="O89" s="251"/>
      <c r="P89" s="251"/>
      <c r="Q89" s="251"/>
      <c r="R89" s="251"/>
      <c r="S89" s="251"/>
      <c r="T89" s="251"/>
    </row>
    <row r="90" spans="1:20" x14ac:dyDescent="0.25">
      <c r="A90" s="251"/>
      <c r="B90" s="251"/>
      <c r="C90" s="251"/>
      <c r="D90" s="251"/>
      <c r="E90" s="251"/>
      <c r="F90" s="251"/>
      <c r="G90" s="251"/>
      <c r="H90" s="251"/>
      <c r="I90" s="251"/>
      <c r="J90" s="251"/>
      <c r="K90" s="251"/>
      <c r="L90" s="251"/>
      <c r="M90" s="251"/>
      <c r="N90" s="251"/>
      <c r="O90" s="251"/>
      <c r="P90" s="251"/>
      <c r="Q90" s="251"/>
      <c r="R90" s="251"/>
      <c r="S90" s="251"/>
      <c r="T90" s="251"/>
    </row>
    <row r="91" spans="1:20" x14ac:dyDescent="0.25">
      <c r="A91" s="251"/>
      <c r="B91" s="251"/>
      <c r="C91" s="251"/>
      <c r="D91" s="251"/>
      <c r="E91" s="251"/>
      <c r="F91" s="251"/>
      <c r="G91" s="251"/>
      <c r="H91" s="251"/>
      <c r="I91" s="251"/>
      <c r="J91" s="251"/>
      <c r="K91" s="251"/>
      <c r="L91" s="251"/>
      <c r="M91" s="251"/>
      <c r="N91" s="251"/>
      <c r="O91" s="251"/>
      <c r="P91" s="251"/>
      <c r="Q91" s="251"/>
      <c r="R91" s="251"/>
      <c r="S91" s="251"/>
      <c r="T91" s="251"/>
    </row>
    <row r="92" spans="1:20" x14ac:dyDescent="0.25">
      <c r="A92" s="251"/>
      <c r="B92" s="251"/>
      <c r="C92" s="251"/>
      <c r="D92" s="251"/>
      <c r="E92" s="251"/>
      <c r="F92" s="251"/>
      <c r="G92" s="251"/>
      <c r="H92" s="251"/>
      <c r="I92" s="251"/>
      <c r="J92" s="251"/>
      <c r="K92" s="251"/>
      <c r="L92" s="251"/>
      <c r="M92" s="251"/>
      <c r="N92" s="251"/>
      <c r="O92" s="251"/>
      <c r="P92" s="251"/>
      <c r="Q92" s="251"/>
      <c r="R92" s="251"/>
      <c r="S92" s="251"/>
      <c r="T92" s="251"/>
    </row>
    <row r="93" spans="1:20" x14ac:dyDescent="0.25">
      <c r="A93" s="251"/>
      <c r="B93" s="251"/>
      <c r="C93" s="251"/>
      <c r="D93" s="251"/>
      <c r="E93" s="251"/>
      <c r="F93" s="251"/>
      <c r="G93" s="251"/>
      <c r="H93" s="251"/>
      <c r="I93" s="251"/>
      <c r="J93" s="251"/>
      <c r="K93" s="251"/>
      <c r="L93" s="251"/>
      <c r="M93" s="251"/>
      <c r="N93" s="251"/>
      <c r="O93" s="251"/>
      <c r="P93" s="251"/>
      <c r="Q93" s="251"/>
      <c r="R93" s="251"/>
      <c r="S93" s="251"/>
      <c r="T93" s="251"/>
    </row>
    <row r="94" spans="1:20" x14ac:dyDescent="0.25">
      <c r="A94" s="251"/>
      <c r="B94" s="251"/>
      <c r="C94" s="251"/>
      <c r="D94" s="251"/>
      <c r="E94" s="251"/>
      <c r="F94" s="251"/>
      <c r="G94" s="251"/>
      <c r="H94" s="251"/>
      <c r="I94" s="251"/>
      <c r="J94" s="251"/>
      <c r="K94" s="251"/>
      <c r="L94" s="251"/>
      <c r="M94" s="251"/>
      <c r="N94" s="251"/>
      <c r="O94" s="251"/>
      <c r="P94" s="251"/>
      <c r="Q94" s="251"/>
      <c r="R94" s="251"/>
      <c r="S94" s="251"/>
      <c r="T94" s="251"/>
    </row>
    <row r="95" spans="1:20" x14ac:dyDescent="0.25">
      <c r="A95" s="251"/>
      <c r="B95" s="251"/>
      <c r="C95" s="251"/>
      <c r="D95" s="251"/>
      <c r="E95" s="251"/>
      <c r="F95" s="251"/>
      <c r="G95" s="251"/>
      <c r="H95" s="251"/>
      <c r="I95" s="251"/>
      <c r="J95" s="251"/>
      <c r="K95" s="251"/>
      <c r="L95" s="251"/>
      <c r="M95" s="251"/>
      <c r="N95" s="251"/>
      <c r="O95" s="251"/>
      <c r="P95" s="251"/>
      <c r="Q95" s="251"/>
      <c r="R95" s="251"/>
      <c r="S95" s="251"/>
      <c r="T95" s="251"/>
    </row>
    <row r="96" spans="1:20" x14ac:dyDescent="0.25">
      <c r="A96" s="251"/>
      <c r="B96" s="251"/>
      <c r="C96" s="251"/>
      <c r="D96" s="251"/>
      <c r="E96" s="251"/>
      <c r="F96" s="251"/>
      <c r="G96" s="251"/>
      <c r="H96" s="251"/>
      <c r="I96" s="251"/>
      <c r="J96" s="251"/>
      <c r="K96" s="251"/>
      <c r="L96" s="251"/>
      <c r="M96" s="251"/>
      <c r="N96" s="251"/>
      <c r="O96" s="251"/>
      <c r="P96" s="251"/>
      <c r="Q96" s="251"/>
      <c r="R96" s="251"/>
      <c r="S96" s="251"/>
      <c r="T96" s="251"/>
    </row>
    <row r="97" spans="1:20" x14ac:dyDescent="0.25">
      <c r="A97" s="251"/>
      <c r="B97" s="251"/>
      <c r="C97" s="251"/>
      <c r="D97" s="251"/>
      <c r="E97" s="251"/>
      <c r="F97" s="251"/>
      <c r="G97" s="251"/>
      <c r="H97" s="251"/>
      <c r="I97" s="251"/>
      <c r="J97" s="251"/>
      <c r="K97" s="251"/>
      <c r="L97" s="251"/>
      <c r="M97" s="251"/>
      <c r="N97" s="251"/>
      <c r="O97" s="251"/>
      <c r="P97" s="251"/>
      <c r="Q97" s="251"/>
      <c r="R97" s="251"/>
      <c r="S97" s="251"/>
      <c r="T97" s="251"/>
    </row>
    <row r="98" spans="1:20" x14ac:dyDescent="0.25">
      <c r="A98" s="251"/>
      <c r="B98" s="251"/>
      <c r="C98" s="251"/>
      <c r="D98" s="251"/>
      <c r="E98" s="251"/>
      <c r="F98" s="251"/>
      <c r="G98" s="251"/>
      <c r="H98" s="251"/>
      <c r="I98" s="251"/>
      <c r="J98" s="251"/>
      <c r="K98" s="251"/>
      <c r="L98" s="251"/>
      <c r="M98" s="251"/>
      <c r="N98" s="251"/>
      <c r="O98" s="251"/>
      <c r="P98" s="251"/>
      <c r="Q98" s="251"/>
      <c r="R98" s="251"/>
      <c r="S98" s="251"/>
      <c r="T98" s="251"/>
    </row>
    <row r="99" spans="1:20" x14ac:dyDescent="0.25">
      <c r="A99" s="251"/>
      <c r="B99" s="251"/>
      <c r="C99" s="251"/>
      <c r="D99" s="251"/>
      <c r="E99" s="251"/>
      <c r="F99" s="251"/>
      <c r="G99" s="251"/>
      <c r="H99" s="251"/>
      <c r="I99" s="251"/>
      <c r="J99" s="251"/>
      <c r="K99" s="251"/>
      <c r="L99" s="251"/>
      <c r="M99" s="251"/>
      <c r="N99" s="251"/>
      <c r="O99" s="251"/>
      <c r="P99" s="251"/>
      <c r="Q99" s="251"/>
      <c r="R99" s="251"/>
      <c r="S99" s="251"/>
      <c r="T99" s="251"/>
    </row>
    <row r="100" spans="1:20" x14ac:dyDescent="0.25">
      <c r="A100" s="251"/>
      <c r="B100" s="251"/>
      <c r="C100" s="251"/>
      <c r="D100" s="251"/>
      <c r="E100" s="251"/>
      <c r="F100" s="251"/>
      <c r="G100" s="251"/>
      <c r="H100" s="251"/>
      <c r="I100" s="251"/>
      <c r="J100" s="251"/>
      <c r="K100" s="251"/>
      <c r="L100" s="251"/>
      <c r="M100" s="251"/>
      <c r="N100" s="251"/>
      <c r="O100" s="251"/>
      <c r="P100" s="251"/>
      <c r="Q100" s="251"/>
      <c r="R100" s="251"/>
      <c r="S100" s="251"/>
      <c r="T100" s="251"/>
    </row>
    <row r="101" spans="1:20" x14ac:dyDescent="0.25">
      <c r="A101" s="251"/>
      <c r="B101" s="251"/>
      <c r="C101" s="251"/>
      <c r="D101" s="251"/>
      <c r="E101" s="251"/>
      <c r="F101" s="251"/>
      <c r="G101" s="251"/>
      <c r="H101" s="251"/>
      <c r="I101" s="251"/>
      <c r="J101" s="251"/>
      <c r="K101" s="251"/>
      <c r="L101" s="251"/>
      <c r="M101" s="251"/>
      <c r="N101" s="251"/>
      <c r="O101" s="251"/>
      <c r="P101" s="251"/>
      <c r="Q101" s="251"/>
      <c r="R101" s="251"/>
      <c r="S101" s="251"/>
      <c r="T101" s="251"/>
    </row>
    <row r="102" spans="1:20" x14ac:dyDescent="0.25">
      <c r="A102" s="251"/>
      <c r="B102" s="251"/>
      <c r="C102" s="251"/>
      <c r="D102" s="251"/>
      <c r="E102" s="251"/>
      <c r="F102" s="251"/>
      <c r="G102" s="251"/>
      <c r="H102" s="251"/>
      <c r="I102" s="251"/>
      <c r="J102" s="251"/>
      <c r="K102" s="251"/>
      <c r="L102" s="251"/>
      <c r="M102" s="251"/>
      <c r="N102" s="251"/>
      <c r="O102" s="251"/>
      <c r="P102" s="251"/>
      <c r="Q102" s="251"/>
      <c r="R102" s="251"/>
      <c r="S102" s="251"/>
      <c r="T102" s="251"/>
    </row>
    <row r="103" spans="1:20" x14ac:dyDescent="0.25">
      <c r="A103" s="251"/>
      <c r="B103" s="251"/>
      <c r="C103" s="251"/>
      <c r="D103" s="251"/>
      <c r="E103" s="251"/>
      <c r="F103" s="251"/>
      <c r="G103" s="251"/>
      <c r="H103" s="251"/>
      <c r="I103" s="251"/>
      <c r="J103" s="251"/>
      <c r="K103" s="251"/>
      <c r="L103" s="251"/>
      <c r="M103" s="251"/>
      <c r="N103" s="251"/>
      <c r="O103" s="251"/>
      <c r="P103" s="251"/>
      <c r="Q103" s="251"/>
      <c r="R103" s="251"/>
      <c r="S103" s="251"/>
      <c r="T103" s="251"/>
    </row>
    <row r="104" spans="1:20" x14ac:dyDescent="0.25">
      <c r="A104" s="251"/>
      <c r="B104" s="251"/>
      <c r="C104" s="251"/>
      <c r="D104" s="251"/>
      <c r="E104" s="251"/>
      <c r="F104" s="251"/>
      <c r="G104" s="251"/>
      <c r="H104" s="251"/>
      <c r="I104" s="251"/>
      <c r="J104" s="251"/>
      <c r="K104" s="251"/>
      <c r="L104" s="251"/>
      <c r="M104" s="251"/>
      <c r="N104" s="251"/>
      <c r="O104" s="251"/>
      <c r="P104" s="251"/>
      <c r="Q104" s="251"/>
      <c r="R104" s="251"/>
      <c r="S104" s="251"/>
      <c r="T104" s="251"/>
    </row>
    <row r="105" spans="1:20" x14ac:dyDescent="0.25">
      <c r="A105" s="251"/>
      <c r="B105" s="251"/>
      <c r="C105" s="251"/>
      <c r="D105" s="251"/>
      <c r="E105" s="251"/>
      <c r="F105" s="251"/>
      <c r="G105" s="251"/>
      <c r="H105" s="251"/>
      <c r="I105" s="251"/>
      <c r="J105" s="251"/>
      <c r="K105" s="251"/>
      <c r="L105" s="251"/>
      <c r="M105" s="251"/>
      <c r="N105" s="251"/>
      <c r="O105" s="251"/>
      <c r="P105" s="251"/>
      <c r="Q105" s="251"/>
      <c r="R105" s="251"/>
      <c r="S105" s="251"/>
      <c r="T105" s="251"/>
    </row>
    <row r="106" spans="1:20" x14ac:dyDescent="0.25">
      <c r="A106" s="251"/>
      <c r="B106" s="251"/>
      <c r="C106" s="251"/>
      <c r="D106" s="251"/>
      <c r="E106" s="251"/>
      <c r="F106" s="251"/>
      <c r="G106" s="251"/>
      <c r="H106" s="251"/>
      <c r="I106" s="251"/>
      <c r="J106" s="251"/>
      <c r="K106" s="251"/>
      <c r="L106" s="251"/>
      <c r="M106" s="251"/>
      <c r="N106" s="251"/>
      <c r="O106" s="251"/>
      <c r="P106" s="251"/>
      <c r="Q106" s="251"/>
      <c r="R106" s="251"/>
      <c r="S106" s="251"/>
      <c r="T106" s="251"/>
    </row>
    <row r="107" spans="1:20" x14ac:dyDescent="0.25">
      <c r="A107" s="251"/>
      <c r="B107" s="251"/>
      <c r="C107" s="251"/>
      <c r="D107" s="251"/>
      <c r="E107" s="251"/>
      <c r="F107" s="251"/>
      <c r="G107" s="251"/>
      <c r="H107" s="251"/>
      <c r="I107" s="251"/>
      <c r="J107" s="251"/>
      <c r="K107" s="251"/>
      <c r="L107" s="251"/>
      <c r="M107" s="251"/>
      <c r="N107" s="251"/>
      <c r="O107" s="251"/>
      <c r="P107" s="251"/>
      <c r="Q107" s="251"/>
      <c r="R107" s="251"/>
      <c r="S107" s="251"/>
      <c r="T107" s="251"/>
    </row>
    <row r="108" spans="1:20" x14ac:dyDescent="0.25">
      <c r="A108" s="251"/>
      <c r="B108" s="251"/>
      <c r="C108" s="251"/>
      <c r="D108" s="251"/>
      <c r="E108" s="251"/>
      <c r="F108" s="251"/>
      <c r="G108" s="251"/>
      <c r="H108" s="251"/>
      <c r="I108" s="251"/>
      <c r="J108" s="251"/>
      <c r="K108" s="251"/>
      <c r="L108" s="251"/>
      <c r="M108" s="251"/>
      <c r="N108" s="251"/>
      <c r="O108" s="251"/>
      <c r="P108" s="251"/>
      <c r="Q108" s="251"/>
      <c r="R108" s="251"/>
      <c r="S108" s="251"/>
      <c r="T108" s="251"/>
    </row>
    <row r="109" spans="1:20" x14ac:dyDescent="0.25">
      <c r="A109" s="251"/>
      <c r="B109" s="251"/>
      <c r="C109" s="251"/>
      <c r="D109" s="251"/>
      <c r="E109" s="251"/>
      <c r="F109" s="251"/>
      <c r="G109" s="251"/>
      <c r="H109" s="251"/>
      <c r="I109" s="251"/>
      <c r="J109" s="251"/>
      <c r="K109" s="251"/>
      <c r="L109" s="251"/>
      <c r="M109" s="251"/>
      <c r="N109" s="251"/>
      <c r="O109" s="251"/>
      <c r="P109" s="251"/>
      <c r="Q109" s="251"/>
      <c r="R109" s="251"/>
      <c r="S109" s="251"/>
      <c r="T109" s="251"/>
    </row>
    <row r="110" spans="1:20" x14ac:dyDescent="0.25">
      <c r="A110" s="251"/>
      <c r="B110" s="251"/>
      <c r="C110" s="251"/>
      <c r="D110" s="251"/>
      <c r="E110" s="251"/>
      <c r="F110" s="251"/>
      <c r="G110" s="251"/>
      <c r="H110" s="251"/>
      <c r="I110" s="251"/>
      <c r="J110" s="251"/>
      <c r="K110" s="251"/>
      <c r="L110" s="251"/>
      <c r="M110" s="251"/>
      <c r="N110" s="251"/>
      <c r="O110" s="251"/>
      <c r="P110" s="251"/>
      <c r="Q110" s="251"/>
      <c r="R110" s="251"/>
      <c r="S110" s="251"/>
      <c r="T110" s="251"/>
    </row>
    <row r="111" spans="1:20" x14ac:dyDescent="0.25">
      <c r="A111" s="251"/>
      <c r="B111" s="251"/>
      <c r="C111" s="251"/>
      <c r="D111" s="251"/>
      <c r="E111" s="251"/>
      <c r="F111" s="251"/>
      <c r="G111" s="251"/>
      <c r="H111" s="251"/>
      <c r="I111" s="251"/>
      <c r="J111" s="251"/>
      <c r="K111" s="251"/>
      <c r="L111" s="251"/>
      <c r="M111" s="251"/>
      <c r="N111" s="251"/>
      <c r="O111" s="251"/>
      <c r="P111" s="251"/>
      <c r="Q111" s="251"/>
      <c r="R111" s="251"/>
      <c r="S111" s="251"/>
      <c r="T111" s="251"/>
    </row>
    <row r="112" spans="1:20" x14ac:dyDescent="0.25">
      <c r="A112" s="251"/>
      <c r="B112" s="251"/>
      <c r="C112" s="251"/>
      <c r="D112" s="251"/>
      <c r="E112" s="251"/>
      <c r="F112" s="251"/>
      <c r="G112" s="251"/>
      <c r="H112" s="251"/>
      <c r="I112" s="251"/>
      <c r="J112" s="251"/>
      <c r="K112" s="251"/>
      <c r="L112" s="251"/>
      <c r="M112" s="251"/>
      <c r="N112" s="251"/>
      <c r="O112" s="251"/>
      <c r="P112" s="251"/>
      <c r="Q112" s="251"/>
      <c r="R112" s="251"/>
      <c r="S112" s="251"/>
      <c r="T112" s="251"/>
    </row>
    <row r="113" spans="1:20" x14ac:dyDescent="0.25">
      <c r="A113" s="251"/>
      <c r="B113" s="251"/>
      <c r="C113" s="251"/>
      <c r="D113" s="251"/>
      <c r="E113" s="251"/>
      <c r="F113" s="251"/>
      <c r="G113" s="251"/>
      <c r="H113" s="251"/>
      <c r="I113" s="251"/>
      <c r="J113" s="251"/>
      <c r="K113" s="251"/>
      <c r="L113" s="251"/>
      <c r="M113" s="251"/>
      <c r="N113" s="251"/>
      <c r="O113" s="251"/>
      <c r="P113" s="251"/>
      <c r="Q113" s="251"/>
      <c r="R113" s="251"/>
      <c r="S113" s="251"/>
      <c r="T113" s="251"/>
    </row>
    <row r="114" spans="1:20" x14ac:dyDescent="0.25">
      <c r="A114" s="251"/>
      <c r="B114" s="251"/>
      <c r="C114" s="251"/>
      <c r="D114" s="251"/>
      <c r="E114" s="251"/>
      <c r="F114" s="251"/>
      <c r="G114" s="251"/>
      <c r="H114" s="251"/>
      <c r="I114" s="251"/>
      <c r="J114" s="251"/>
      <c r="K114" s="251"/>
      <c r="L114" s="251"/>
      <c r="M114" s="251"/>
      <c r="N114" s="251"/>
      <c r="O114" s="251"/>
      <c r="P114" s="251"/>
      <c r="Q114" s="251"/>
      <c r="R114" s="251"/>
      <c r="S114" s="251"/>
      <c r="T114" s="251"/>
    </row>
    <row r="115" spans="1:20" x14ac:dyDescent="0.25">
      <c r="A115" s="251"/>
      <c r="B115" s="251"/>
      <c r="C115" s="251"/>
      <c r="D115" s="251"/>
      <c r="E115" s="251"/>
      <c r="F115" s="251"/>
      <c r="G115" s="251"/>
      <c r="H115" s="251"/>
      <c r="I115" s="251"/>
      <c r="J115" s="251"/>
      <c r="K115" s="251"/>
      <c r="L115" s="251"/>
      <c r="M115" s="251"/>
      <c r="N115" s="251"/>
      <c r="O115" s="251"/>
      <c r="P115" s="251"/>
      <c r="Q115" s="251"/>
      <c r="R115" s="251"/>
      <c r="S115" s="251"/>
      <c r="T115" s="251"/>
    </row>
    <row r="116" spans="1:20" x14ac:dyDescent="0.25">
      <c r="A116" s="251"/>
      <c r="B116" s="251"/>
      <c r="C116" s="251"/>
      <c r="D116" s="251"/>
      <c r="E116" s="251"/>
      <c r="F116" s="251"/>
      <c r="G116" s="251"/>
      <c r="H116" s="251"/>
      <c r="I116" s="251"/>
      <c r="J116" s="251"/>
      <c r="K116" s="251"/>
      <c r="L116" s="251"/>
      <c r="M116" s="251"/>
      <c r="N116" s="251"/>
      <c r="O116" s="251"/>
      <c r="P116" s="251"/>
      <c r="Q116" s="251"/>
      <c r="R116" s="251"/>
      <c r="S116" s="251"/>
      <c r="T116" s="251"/>
    </row>
    <row r="117" spans="1:20" x14ac:dyDescent="0.25">
      <c r="A117" s="251"/>
      <c r="B117" s="251"/>
      <c r="C117" s="251"/>
      <c r="D117" s="251"/>
      <c r="E117" s="251"/>
      <c r="F117" s="251"/>
      <c r="G117" s="251"/>
      <c r="H117" s="251"/>
      <c r="I117" s="251"/>
      <c r="J117" s="251"/>
      <c r="K117" s="251"/>
      <c r="L117" s="251"/>
      <c r="M117" s="251"/>
      <c r="N117" s="251"/>
      <c r="O117" s="251"/>
      <c r="P117" s="251"/>
      <c r="Q117" s="251"/>
      <c r="R117" s="251"/>
      <c r="S117" s="251"/>
      <c r="T117" s="251"/>
    </row>
    <row r="118" spans="1:20" x14ac:dyDescent="0.25">
      <c r="A118" s="251"/>
      <c r="B118" s="251"/>
      <c r="C118" s="251"/>
      <c r="D118" s="251"/>
      <c r="E118" s="251"/>
      <c r="F118" s="251"/>
      <c r="G118" s="251"/>
      <c r="H118" s="251"/>
      <c r="I118" s="251"/>
      <c r="J118" s="251"/>
      <c r="K118" s="251"/>
      <c r="L118" s="251"/>
      <c r="M118" s="251"/>
      <c r="N118" s="251"/>
      <c r="O118" s="251"/>
      <c r="P118" s="251"/>
      <c r="Q118" s="251"/>
      <c r="R118" s="251"/>
      <c r="S118" s="251"/>
      <c r="T118" s="251"/>
    </row>
    <row r="119" spans="1:20" x14ac:dyDescent="0.25">
      <c r="A119" s="251"/>
      <c r="B119" s="251"/>
      <c r="C119" s="251"/>
      <c r="D119" s="251"/>
      <c r="E119" s="251"/>
      <c r="F119" s="251"/>
      <c r="G119" s="251"/>
      <c r="H119" s="251"/>
      <c r="I119" s="251"/>
      <c r="J119" s="251"/>
      <c r="K119" s="251"/>
      <c r="L119" s="251"/>
      <c r="M119" s="251"/>
      <c r="N119" s="251"/>
      <c r="O119" s="251"/>
      <c r="P119" s="251"/>
      <c r="Q119" s="251"/>
      <c r="R119" s="251"/>
      <c r="S119" s="251"/>
      <c r="T119" s="251"/>
    </row>
    <row r="120" spans="1:20" x14ac:dyDescent="0.25">
      <c r="A120" s="251"/>
      <c r="B120" s="251"/>
      <c r="C120" s="251"/>
      <c r="D120" s="251"/>
      <c r="E120" s="251"/>
      <c r="F120" s="251"/>
      <c r="G120" s="251"/>
      <c r="H120" s="251"/>
      <c r="I120" s="251"/>
      <c r="J120" s="251"/>
      <c r="K120" s="251"/>
      <c r="L120" s="251"/>
      <c r="M120" s="251"/>
      <c r="N120" s="251"/>
      <c r="O120" s="251"/>
      <c r="P120" s="251"/>
      <c r="Q120" s="251"/>
      <c r="R120" s="251"/>
      <c r="S120" s="251"/>
      <c r="T120" s="251"/>
    </row>
    <row r="121" spans="1:20" x14ac:dyDescent="0.25">
      <c r="A121" s="251"/>
      <c r="B121" s="251"/>
      <c r="C121" s="251"/>
      <c r="D121" s="251"/>
      <c r="E121" s="251"/>
      <c r="F121" s="251"/>
      <c r="G121" s="251"/>
      <c r="H121" s="251"/>
      <c r="I121" s="251"/>
      <c r="J121" s="251"/>
      <c r="K121" s="251"/>
      <c r="L121" s="251"/>
      <c r="M121" s="251"/>
      <c r="N121" s="251"/>
      <c r="O121" s="251"/>
      <c r="P121" s="251"/>
      <c r="Q121" s="251"/>
      <c r="R121" s="251"/>
      <c r="S121" s="251"/>
      <c r="T121" s="251"/>
    </row>
    <row r="122" spans="1:20" x14ac:dyDescent="0.25">
      <c r="A122" s="251"/>
      <c r="B122" s="251"/>
      <c r="C122" s="251"/>
      <c r="D122" s="251"/>
      <c r="E122" s="251"/>
      <c r="F122" s="251"/>
      <c r="G122" s="251"/>
      <c r="H122" s="251"/>
      <c r="I122" s="251"/>
      <c r="J122" s="251"/>
      <c r="K122" s="251"/>
      <c r="L122" s="251"/>
      <c r="M122" s="251"/>
      <c r="N122" s="251"/>
      <c r="O122" s="251"/>
      <c r="P122" s="251"/>
      <c r="Q122" s="251"/>
      <c r="R122" s="251"/>
      <c r="S122" s="251"/>
      <c r="T122" s="251"/>
    </row>
    <row r="123" spans="1:20" x14ac:dyDescent="0.25">
      <c r="A123" s="251"/>
      <c r="B123" s="251"/>
      <c r="C123" s="251"/>
      <c r="D123" s="251"/>
      <c r="E123" s="251"/>
      <c r="F123" s="251"/>
      <c r="G123" s="251"/>
      <c r="H123" s="251"/>
      <c r="I123" s="251"/>
      <c r="J123" s="251"/>
      <c r="K123" s="251"/>
      <c r="L123" s="251"/>
      <c r="M123" s="251"/>
      <c r="N123" s="251"/>
      <c r="O123" s="251"/>
      <c r="P123" s="251"/>
      <c r="Q123" s="251"/>
      <c r="R123" s="251"/>
      <c r="S123" s="251"/>
      <c r="T123" s="251"/>
    </row>
    <row r="124" spans="1:20" x14ac:dyDescent="0.25">
      <c r="A124" s="251"/>
      <c r="B124" s="251"/>
      <c r="C124" s="251"/>
      <c r="D124" s="251"/>
      <c r="E124" s="251"/>
      <c r="F124" s="251"/>
      <c r="G124" s="251"/>
      <c r="H124" s="251"/>
      <c r="I124" s="251"/>
      <c r="J124" s="251"/>
      <c r="K124" s="251"/>
      <c r="L124" s="251"/>
      <c r="M124" s="251"/>
      <c r="N124" s="251"/>
      <c r="O124" s="251"/>
      <c r="P124" s="251"/>
      <c r="Q124" s="251"/>
      <c r="R124" s="251"/>
      <c r="S124" s="251"/>
      <c r="T124" s="251"/>
    </row>
    <row r="125" spans="1:20" x14ac:dyDescent="0.25">
      <c r="A125" s="251"/>
      <c r="B125" s="251"/>
      <c r="C125" s="251"/>
      <c r="D125" s="251"/>
      <c r="E125" s="251"/>
      <c r="F125" s="251"/>
      <c r="G125" s="251"/>
      <c r="H125" s="251"/>
      <c r="I125" s="251"/>
      <c r="J125" s="251"/>
      <c r="K125" s="251"/>
      <c r="L125" s="251"/>
      <c r="M125" s="251"/>
      <c r="N125" s="251"/>
      <c r="O125" s="251"/>
      <c r="P125" s="251"/>
      <c r="Q125" s="251"/>
      <c r="R125" s="251"/>
      <c r="S125" s="251"/>
      <c r="T125" s="251"/>
    </row>
    <row r="126" spans="1:20" x14ac:dyDescent="0.25">
      <c r="A126" s="251"/>
      <c r="B126" s="251"/>
      <c r="C126" s="251"/>
      <c r="D126" s="251"/>
      <c r="E126" s="251"/>
      <c r="F126" s="251"/>
      <c r="G126" s="251"/>
      <c r="H126" s="251"/>
      <c r="I126" s="251"/>
      <c r="J126" s="251"/>
      <c r="K126" s="251"/>
      <c r="L126" s="251"/>
      <c r="M126" s="251"/>
      <c r="N126" s="251"/>
      <c r="O126" s="251"/>
      <c r="P126" s="251"/>
      <c r="Q126" s="251"/>
      <c r="R126" s="251"/>
      <c r="S126" s="251"/>
      <c r="T126" s="251"/>
    </row>
    <row r="127" spans="1:20" x14ac:dyDescent="0.25">
      <c r="A127" s="251"/>
      <c r="B127" s="251"/>
      <c r="C127" s="251"/>
      <c r="D127" s="251"/>
      <c r="E127" s="251"/>
      <c r="F127" s="251"/>
      <c r="G127" s="251"/>
      <c r="H127" s="251"/>
      <c r="I127" s="251"/>
      <c r="J127" s="251"/>
      <c r="K127" s="251"/>
      <c r="L127" s="251"/>
      <c r="M127" s="251"/>
      <c r="N127" s="251"/>
      <c r="O127" s="251"/>
      <c r="P127" s="251"/>
      <c r="Q127" s="251"/>
      <c r="R127" s="251"/>
      <c r="S127" s="251"/>
      <c r="T127" s="251"/>
    </row>
    <row r="128" spans="1:20" x14ac:dyDescent="0.25">
      <c r="A128" s="251"/>
      <c r="B128" s="251"/>
      <c r="C128" s="251"/>
      <c r="D128" s="251"/>
      <c r="E128" s="251"/>
      <c r="F128" s="251"/>
      <c r="G128" s="251"/>
      <c r="H128" s="251"/>
      <c r="I128" s="251"/>
      <c r="J128" s="251"/>
      <c r="K128" s="251"/>
      <c r="L128" s="251"/>
      <c r="M128" s="251"/>
      <c r="N128" s="251"/>
      <c r="O128" s="251"/>
      <c r="P128" s="251"/>
      <c r="Q128" s="251"/>
      <c r="R128" s="251"/>
      <c r="S128" s="251"/>
      <c r="T128" s="251"/>
    </row>
    <row r="129" spans="1:20" x14ac:dyDescent="0.25">
      <c r="A129" s="251"/>
      <c r="B129" s="251"/>
      <c r="C129" s="251"/>
      <c r="D129" s="251"/>
      <c r="E129" s="251"/>
      <c r="F129" s="251"/>
      <c r="G129" s="251"/>
      <c r="H129" s="251"/>
      <c r="I129" s="251"/>
      <c r="J129" s="251"/>
      <c r="K129" s="251"/>
      <c r="L129" s="251"/>
      <c r="M129" s="251"/>
      <c r="N129" s="251"/>
      <c r="O129" s="251"/>
      <c r="P129" s="251"/>
      <c r="Q129" s="251"/>
      <c r="R129" s="251"/>
      <c r="S129" s="251"/>
      <c r="T129" s="251"/>
    </row>
    <row r="130" spans="1:20" x14ac:dyDescent="0.25">
      <c r="A130" s="251"/>
      <c r="B130" s="251"/>
      <c r="C130" s="251"/>
      <c r="D130" s="251"/>
      <c r="E130" s="251"/>
      <c r="F130" s="251"/>
      <c r="G130" s="251"/>
      <c r="H130" s="251"/>
      <c r="I130" s="251"/>
      <c r="J130" s="251"/>
      <c r="K130" s="251"/>
      <c r="L130" s="251"/>
      <c r="M130" s="251"/>
      <c r="N130" s="251"/>
      <c r="O130" s="251"/>
      <c r="P130" s="251"/>
      <c r="Q130" s="251"/>
      <c r="R130" s="251"/>
      <c r="S130" s="251"/>
      <c r="T130" s="251"/>
    </row>
    <row r="131" spans="1:20" x14ac:dyDescent="0.25">
      <c r="A131" s="251"/>
      <c r="B131" s="251"/>
      <c r="C131" s="251"/>
      <c r="D131" s="251"/>
      <c r="E131" s="251"/>
      <c r="F131" s="251"/>
      <c r="G131" s="251"/>
      <c r="H131" s="251"/>
      <c r="I131" s="251"/>
      <c r="J131" s="251"/>
      <c r="K131" s="251"/>
      <c r="L131" s="251"/>
      <c r="M131" s="251"/>
      <c r="N131" s="251"/>
      <c r="O131" s="251"/>
      <c r="P131" s="251"/>
      <c r="Q131" s="251"/>
      <c r="R131" s="251"/>
      <c r="S131" s="251"/>
      <c r="T131" s="251"/>
    </row>
    <row r="132" spans="1:20" x14ac:dyDescent="0.25">
      <c r="A132" s="251"/>
      <c r="B132" s="251"/>
      <c r="C132" s="251"/>
      <c r="D132" s="251"/>
      <c r="E132" s="251"/>
      <c r="F132" s="251"/>
      <c r="G132" s="251"/>
      <c r="H132" s="251"/>
      <c r="I132" s="251"/>
      <c r="J132" s="251"/>
      <c r="K132" s="251"/>
      <c r="L132" s="251"/>
      <c r="M132" s="251"/>
      <c r="N132" s="251"/>
      <c r="O132" s="251"/>
      <c r="P132" s="251"/>
      <c r="Q132" s="251"/>
      <c r="R132" s="251"/>
      <c r="S132" s="251"/>
      <c r="T132" s="251"/>
    </row>
    <row r="133" spans="1:20" x14ac:dyDescent="0.25">
      <c r="A133" s="251"/>
      <c r="B133" s="251"/>
      <c r="C133" s="251"/>
      <c r="D133" s="251"/>
      <c r="E133" s="251"/>
      <c r="F133" s="251"/>
      <c r="G133" s="251"/>
      <c r="H133" s="251"/>
      <c r="I133" s="251"/>
      <c r="J133" s="251"/>
      <c r="K133" s="251"/>
      <c r="L133" s="251"/>
      <c r="M133" s="251"/>
      <c r="N133" s="251"/>
      <c r="O133" s="251"/>
      <c r="P133" s="251"/>
      <c r="Q133" s="251"/>
      <c r="R133" s="251"/>
      <c r="S133" s="251"/>
      <c r="T133" s="251"/>
    </row>
    <row r="134" spans="1:20" x14ac:dyDescent="0.25">
      <c r="A134" s="251"/>
      <c r="B134" s="251"/>
      <c r="C134" s="251"/>
      <c r="D134" s="251"/>
      <c r="E134" s="251"/>
      <c r="F134" s="251"/>
      <c r="G134" s="251"/>
      <c r="H134" s="251"/>
      <c r="I134" s="251"/>
      <c r="J134" s="251"/>
      <c r="K134" s="251"/>
      <c r="L134" s="251"/>
      <c r="M134" s="251"/>
      <c r="N134" s="251"/>
      <c r="O134" s="251"/>
      <c r="P134" s="251"/>
      <c r="Q134" s="251"/>
      <c r="R134" s="251"/>
      <c r="S134" s="251"/>
      <c r="T134" s="251"/>
    </row>
    <row r="135" spans="1:20" x14ac:dyDescent="0.25">
      <c r="A135" s="251"/>
      <c r="B135" s="251"/>
      <c r="C135" s="251"/>
      <c r="D135" s="251"/>
      <c r="E135" s="251"/>
      <c r="F135" s="251"/>
      <c r="G135" s="251"/>
      <c r="H135" s="251"/>
      <c r="I135" s="251"/>
      <c r="J135" s="251"/>
      <c r="K135" s="251"/>
      <c r="L135" s="251"/>
      <c r="M135" s="251"/>
      <c r="N135" s="251"/>
      <c r="O135" s="251"/>
      <c r="P135" s="251"/>
      <c r="Q135" s="251"/>
      <c r="R135" s="251"/>
      <c r="S135" s="251"/>
      <c r="T135" s="251"/>
    </row>
    <row r="136" spans="1:20" x14ac:dyDescent="0.25">
      <c r="A136" s="251"/>
      <c r="B136" s="251"/>
      <c r="C136" s="251"/>
      <c r="D136" s="251"/>
      <c r="E136" s="251"/>
      <c r="F136" s="251"/>
      <c r="G136" s="251"/>
      <c r="H136" s="251"/>
      <c r="I136" s="251"/>
      <c r="J136" s="251"/>
      <c r="K136" s="251"/>
      <c r="L136" s="251"/>
      <c r="M136" s="251"/>
      <c r="N136" s="251"/>
      <c r="O136" s="251"/>
      <c r="P136" s="251"/>
      <c r="Q136" s="251"/>
      <c r="R136" s="251"/>
      <c r="S136" s="251"/>
      <c r="T136" s="251"/>
    </row>
    <row r="137" spans="1:20" x14ac:dyDescent="0.25">
      <c r="A137" s="251"/>
      <c r="B137" s="251"/>
      <c r="C137" s="251"/>
      <c r="D137" s="251"/>
      <c r="E137" s="251"/>
      <c r="F137" s="251"/>
      <c r="G137" s="251"/>
      <c r="H137" s="251"/>
      <c r="I137" s="251"/>
      <c r="J137" s="251"/>
      <c r="K137" s="251"/>
      <c r="L137" s="251"/>
      <c r="M137" s="251"/>
      <c r="N137" s="251"/>
      <c r="O137" s="251"/>
      <c r="P137" s="251"/>
      <c r="Q137" s="251"/>
      <c r="R137" s="251"/>
      <c r="S137" s="251"/>
      <c r="T137" s="251"/>
    </row>
    <row r="138" spans="1:20" x14ac:dyDescent="0.25">
      <c r="A138" s="251"/>
      <c r="B138" s="251"/>
      <c r="C138" s="251"/>
      <c r="D138" s="251"/>
      <c r="E138" s="251"/>
      <c r="F138" s="251"/>
      <c r="G138" s="251"/>
      <c r="H138" s="251"/>
      <c r="I138" s="251"/>
      <c r="J138" s="251"/>
      <c r="K138" s="251"/>
      <c r="L138" s="251"/>
      <c r="M138" s="251"/>
      <c r="N138" s="251"/>
      <c r="O138" s="251"/>
      <c r="P138" s="251"/>
      <c r="Q138" s="251"/>
      <c r="R138" s="251"/>
      <c r="S138" s="251"/>
      <c r="T138" s="251"/>
    </row>
    <row r="139" spans="1:20" x14ac:dyDescent="0.25">
      <c r="A139" s="251"/>
      <c r="B139" s="251"/>
      <c r="C139" s="251"/>
      <c r="D139" s="251"/>
      <c r="E139" s="251"/>
      <c r="F139" s="251"/>
      <c r="G139" s="251"/>
      <c r="H139" s="251"/>
      <c r="I139" s="251"/>
      <c r="J139" s="251"/>
      <c r="K139" s="251"/>
      <c r="L139" s="251"/>
      <c r="M139" s="251"/>
      <c r="N139" s="251"/>
      <c r="O139" s="251"/>
      <c r="P139" s="251"/>
      <c r="Q139" s="251"/>
      <c r="R139" s="251"/>
      <c r="S139" s="251"/>
      <c r="T139" s="251"/>
    </row>
    <row r="140" spans="1:20" x14ac:dyDescent="0.25">
      <c r="A140" s="251"/>
      <c r="B140" s="251"/>
      <c r="C140" s="251"/>
      <c r="D140" s="251"/>
      <c r="E140" s="251"/>
      <c r="F140" s="251"/>
      <c r="G140" s="251"/>
      <c r="H140" s="251"/>
      <c r="I140" s="251"/>
      <c r="J140" s="251"/>
      <c r="K140" s="251"/>
      <c r="L140" s="251"/>
      <c r="M140" s="251"/>
      <c r="N140" s="251"/>
      <c r="O140" s="251"/>
      <c r="P140" s="251"/>
      <c r="Q140" s="251"/>
      <c r="R140" s="251"/>
      <c r="S140" s="251"/>
      <c r="T140" s="251"/>
    </row>
    <row r="141" spans="1:20" x14ac:dyDescent="0.25">
      <c r="A141" s="251"/>
      <c r="B141" s="251"/>
      <c r="C141" s="251"/>
      <c r="D141" s="251"/>
      <c r="E141" s="251"/>
      <c r="F141" s="251"/>
      <c r="G141" s="251"/>
      <c r="H141" s="251"/>
      <c r="I141" s="251"/>
      <c r="J141" s="251"/>
      <c r="K141" s="251"/>
      <c r="L141" s="251"/>
      <c r="M141" s="251"/>
      <c r="N141" s="251"/>
      <c r="O141" s="251"/>
      <c r="P141" s="251"/>
      <c r="Q141" s="251"/>
      <c r="R141" s="251"/>
      <c r="S141" s="251"/>
      <c r="T141" s="251"/>
    </row>
    <row r="142" spans="1:20" x14ac:dyDescent="0.25">
      <c r="A142" s="251"/>
      <c r="B142" s="251"/>
      <c r="C142" s="251"/>
      <c r="D142" s="251"/>
      <c r="E142" s="251"/>
      <c r="F142" s="251"/>
      <c r="G142" s="251"/>
      <c r="H142" s="251"/>
      <c r="I142" s="251"/>
      <c r="J142" s="251"/>
      <c r="K142" s="251"/>
      <c r="L142" s="251"/>
      <c r="M142" s="251"/>
      <c r="N142" s="251"/>
      <c r="O142" s="251"/>
      <c r="P142" s="251"/>
      <c r="Q142" s="251"/>
      <c r="R142" s="251"/>
      <c r="S142" s="251"/>
      <c r="T142" s="251"/>
    </row>
    <row r="143" spans="1:20" x14ac:dyDescent="0.25">
      <c r="A143" s="251"/>
      <c r="B143" s="251"/>
      <c r="C143" s="251"/>
      <c r="D143" s="251"/>
      <c r="E143" s="251"/>
      <c r="F143" s="251"/>
      <c r="G143" s="251"/>
      <c r="H143" s="251"/>
      <c r="I143" s="251"/>
      <c r="J143" s="251"/>
      <c r="K143" s="251"/>
      <c r="L143" s="251"/>
      <c r="M143" s="251"/>
      <c r="N143" s="251"/>
      <c r="O143" s="251"/>
      <c r="P143" s="251"/>
      <c r="Q143" s="251"/>
      <c r="R143" s="251"/>
      <c r="S143" s="251"/>
      <c r="T143" s="251"/>
    </row>
    <row r="144" spans="1:20" x14ac:dyDescent="0.25">
      <c r="A144" s="251"/>
      <c r="B144" s="251"/>
      <c r="C144" s="251"/>
      <c r="D144" s="251"/>
      <c r="E144" s="251"/>
      <c r="F144" s="251"/>
      <c r="G144" s="251"/>
      <c r="H144" s="251"/>
      <c r="I144" s="251"/>
      <c r="J144" s="251"/>
      <c r="K144" s="251"/>
      <c r="L144" s="251"/>
      <c r="M144" s="251"/>
      <c r="N144" s="251"/>
      <c r="O144" s="251"/>
      <c r="P144" s="251"/>
      <c r="Q144" s="251"/>
      <c r="R144" s="251"/>
      <c r="S144" s="251"/>
      <c r="T144" s="251"/>
    </row>
    <row r="145" spans="1:20" x14ac:dyDescent="0.25">
      <c r="A145" s="251"/>
      <c r="B145" s="251"/>
      <c r="C145" s="251"/>
      <c r="D145" s="251"/>
      <c r="E145" s="251"/>
      <c r="F145" s="251"/>
      <c r="G145" s="251"/>
      <c r="H145" s="251"/>
      <c r="I145" s="251"/>
      <c r="J145" s="251"/>
      <c r="K145" s="251"/>
      <c r="L145" s="251"/>
      <c r="M145" s="251"/>
      <c r="N145" s="251"/>
      <c r="O145" s="251"/>
      <c r="P145" s="251"/>
      <c r="Q145" s="251"/>
      <c r="R145" s="251"/>
      <c r="S145" s="251"/>
      <c r="T145" s="251"/>
    </row>
    <row r="146" spans="1:20" x14ac:dyDescent="0.25">
      <c r="A146" s="251"/>
      <c r="B146" s="251"/>
      <c r="C146" s="251"/>
      <c r="D146" s="251"/>
      <c r="E146" s="251"/>
      <c r="F146" s="251"/>
      <c r="G146" s="251"/>
      <c r="H146" s="251"/>
      <c r="I146" s="251"/>
      <c r="J146" s="251"/>
      <c r="K146" s="251"/>
      <c r="L146" s="251"/>
      <c r="M146" s="251"/>
      <c r="N146" s="251"/>
      <c r="O146" s="251"/>
      <c r="P146" s="251"/>
      <c r="Q146" s="251"/>
      <c r="R146" s="251"/>
      <c r="S146" s="251"/>
      <c r="T146" s="251"/>
    </row>
    <row r="147" spans="1:20" x14ac:dyDescent="0.25">
      <c r="A147" s="251"/>
      <c r="B147" s="251"/>
      <c r="C147" s="251"/>
      <c r="D147" s="251"/>
      <c r="E147" s="251"/>
      <c r="F147" s="251"/>
      <c r="G147" s="251"/>
      <c r="H147" s="251"/>
      <c r="I147" s="251"/>
      <c r="J147" s="251"/>
      <c r="K147" s="251"/>
      <c r="L147" s="251"/>
      <c r="M147" s="251"/>
      <c r="N147" s="251"/>
      <c r="O147" s="251"/>
      <c r="P147" s="251"/>
      <c r="Q147" s="251"/>
      <c r="R147" s="251"/>
      <c r="S147" s="251"/>
      <c r="T147" s="251"/>
    </row>
    <row r="148" spans="1:20" x14ac:dyDescent="0.25">
      <c r="A148" s="251"/>
      <c r="B148" s="251"/>
      <c r="C148" s="251"/>
      <c r="D148" s="251"/>
      <c r="E148" s="251"/>
      <c r="F148" s="251"/>
      <c r="G148" s="251"/>
      <c r="H148" s="251"/>
      <c r="I148" s="251"/>
      <c r="J148" s="251"/>
      <c r="K148" s="251"/>
      <c r="L148" s="251"/>
      <c r="M148" s="251"/>
      <c r="N148" s="251"/>
      <c r="O148" s="251"/>
      <c r="P148" s="251"/>
      <c r="Q148" s="251"/>
      <c r="R148" s="251"/>
      <c r="S148" s="251"/>
      <c r="T148" s="251"/>
    </row>
    <row r="149" spans="1:20" x14ac:dyDescent="0.25">
      <c r="A149" s="251"/>
      <c r="B149" s="251"/>
      <c r="C149" s="251"/>
      <c r="D149" s="251"/>
      <c r="E149" s="251"/>
      <c r="F149" s="251"/>
      <c r="G149" s="251"/>
      <c r="H149" s="251"/>
      <c r="I149" s="251"/>
      <c r="J149" s="251"/>
      <c r="K149" s="251"/>
      <c r="L149" s="251"/>
      <c r="M149" s="251"/>
      <c r="N149" s="251"/>
      <c r="O149" s="251"/>
      <c r="P149" s="251"/>
      <c r="Q149" s="251"/>
      <c r="R149" s="251"/>
      <c r="S149" s="251"/>
      <c r="T149" s="251"/>
    </row>
    <row r="150" spans="1:20" x14ac:dyDescent="0.25">
      <c r="A150" s="251"/>
      <c r="B150" s="251"/>
      <c r="C150" s="251"/>
      <c r="D150" s="251"/>
      <c r="E150" s="251"/>
      <c r="F150" s="251"/>
      <c r="G150" s="251"/>
      <c r="H150" s="251"/>
      <c r="I150" s="251"/>
      <c r="J150" s="251"/>
      <c r="K150" s="251"/>
      <c r="L150" s="251"/>
      <c r="M150" s="251"/>
      <c r="N150" s="251"/>
      <c r="O150" s="251"/>
      <c r="P150" s="251"/>
      <c r="Q150" s="251"/>
      <c r="R150" s="251"/>
      <c r="S150" s="251"/>
      <c r="T150" s="251"/>
    </row>
    <row r="151" spans="1:20" x14ac:dyDescent="0.25">
      <c r="A151" s="251"/>
      <c r="B151" s="251"/>
      <c r="C151" s="251"/>
      <c r="D151" s="251"/>
      <c r="E151" s="251"/>
      <c r="F151" s="251"/>
      <c r="G151" s="251"/>
      <c r="H151" s="251"/>
      <c r="I151" s="251"/>
      <c r="J151" s="251"/>
      <c r="K151" s="251"/>
      <c r="L151" s="251"/>
      <c r="M151" s="251"/>
      <c r="N151" s="251"/>
      <c r="O151" s="251"/>
      <c r="P151" s="251"/>
      <c r="Q151" s="251"/>
      <c r="R151" s="251"/>
      <c r="S151" s="251"/>
      <c r="T151" s="251"/>
    </row>
    <row r="152" spans="1:20" x14ac:dyDescent="0.25">
      <c r="A152" s="251"/>
      <c r="B152" s="251"/>
      <c r="C152" s="251"/>
      <c r="D152" s="251"/>
      <c r="E152" s="251"/>
      <c r="F152" s="251"/>
      <c r="G152" s="251"/>
      <c r="H152" s="251"/>
      <c r="I152" s="251"/>
      <c r="J152" s="251"/>
      <c r="K152" s="251"/>
      <c r="L152" s="251"/>
      <c r="M152" s="251"/>
      <c r="N152" s="251"/>
      <c r="O152" s="251"/>
      <c r="P152" s="251"/>
      <c r="Q152" s="251"/>
      <c r="R152" s="251"/>
      <c r="S152" s="251"/>
      <c r="T152" s="251"/>
    </row>
    <row r="153" spans="1:20" x14ac:dyDescent="0.25">
      <c r="A153" s="251"/>
      <c r="B153" s="251"/>
      <c r="C153" s="251"/>
      <c r="D153" s="251"/>
      <c r="E153" s="251"/>
      <c r="F153" s="251"/>
      <c r="G153" s="251"/>
      <c r="H153" s="251"/>
      <c r="I153" s="251"/>
      <c r="J153" s="251"/>
      <c r="K153" s="251"/>
      <c r="L153" s="251"/>
      <c r="M153" s="251"/>
      <c r="N153" s="251"/>
      <c r="O153" s="251"/>
      <c r="P153" s="251"/>
      <c r="Q153" s="251"/>
      <c r="R153" s="251"/>
      <c r="S153" s="251"/>
      <c r="T153" s="251"/>
    </row>
    <row r="154" spans="1:20" x14ac:dyDescent="0.25">
      <c r="A154" s="251"/>
      <c r="B154" s="251"/>
      <c r="C154" s="251"/>
      <c r="D154" s="251"/>
      <c r="E154" s="251"/>
      <c r="F154" s="251"/>
      <c r="G154" s="251"/>
      <c r="H154" s="251"/>
      <c r="I154" s="251"/>
      <c r="J154" s="251"/>
      <c r="K154" s="251"/>
      <c r="L154" s="251"/>
      <c r="M154" s="251"/>
      <c r="N154" s="251"/>
      <c r="O154" s="251"/>
      <c r="P154" s="251"/>
      <c r="Q154" s="251"/>
      <c r="R154" s="251"/>
      <c r="S154" s="251"/>
      <c r="T154" s="251"/>
    </row>
    <row r="155" spans="1:20" x14ac:dyDescent="0.25">
      <c r="A155" s="251"/>
      <c r="B155" s="251"/>
      <c r="C155" s="251"/>
      <c r="D155" s="251"/>
      <c r="E155" s="251"/>
      <c r="F155" s="251"/>
      <c r="G155" s="251"/>
      <c r="H155" s="251"/>
      <c r="I155" s="251"/>
      <c r="J155" s="251"/>
      <c r="K155" s="251"/>
      <c r="L155" s="251"/>
      <c r="M155" s="251"/>
      <c r="N155" s="251"/>
      <c r="O155" s="251"/>
      <c r="P155" s="251"/>
      <c r="Q155" s="251"/>
      <c r="R155" s="251"/>
      <c r="S155" s="251"/>
      <c r="T155" s="251"/>
    </row>
    <row r="156" spans="1:20" x14ac:dyDescent="0.25">
      <c r="A156" s="251"/>
      <c r="B156" s="251"/>
      <c r="C156" s="251"/>
      <c r="D156" s="251"/>
      <c r="E156" s="251"/>
      <c r="F156" s="251"/>
      <c r="G156" s="251"/>
      <c r="H156" s="251"/>
      <c r="I156" s="251"/>
      <c r="J156" s="251"/>
      <c r="K156" s="251"/>
      <c r="L156" s="251"/>
      <c r="M156" s="251"/>
      <c r="N156" s="251"/>
      <c r="O156" s="251"/>
      <c r="P156" s="251"/>
      <c r="Q156" s="251"/>
      <c r="R156" s="251"/>
      <c r="S156" s="251"/>
      <c r="T156" s="251"/>
    </row>
    <row r="157" spans="1:20" x14ac:dyDescent="0.25">
      <c r="A157" s="251"/>
      <c r="B157" s="251"/>
      <c r="C157" s="251"/>
      <c r="D157" s="251"/>
      <c r="E157" s="251"/>
      <c r="F157" s="251"/>
      <c r="G157" s="251"/>
      <c r="H157" s="251"/>
      <c r="I157" s="251"/>
      <c r="J157" s="251"/>
      <c r="K157" s="251"/>
      <c r="L157" s="251"/>
      <c r="M157" s="251"/>
      <c r="N157" s="251"/>
      <c r="O157" s="251"/>
      <c r="P157" s="251"/>
      <c r="Q157" s="251"/>
      <c r="R157" s="251"/>
      <c r="S157" s="251"/>
      <c r="T157" s="251"/>
    </row>
    <row r="158" spans="1:20" x14ac:dyDescent="0.25">
      <c r="A158" s="251"/>
      <c r="B158" s="251"/>
      <c r="C158" s="251"/>
      <c r="D158" s="251"/>
      <c r="E158" s="251"/>
      <c r="F158" s="251"/>
      <c r="G158" s="251"/>
      <c r="H158" s="251"/>
      <c r="I158" s="251"/>
      <c r="J158" s="251"/>
      <c r="K158" s="251"/>
      <c r="L158" s="251"/>
      <c r="M158" s="251"/>
      <c r="N158" s="251"/>
      <c r="O158" s="251"/>
      <c r="P158" s="251"/>
      <c r="Q158" s="251"/>
      <c r="R158" s="251"/>
      <c r="S158" s="251"/>
      <c r="T158" s="251"/>
    </row>
    <row r="159" spans="1:20" x14ac:dyDescent="0.25">
      <c r="A159" s="251"/>
      <c r="B159" s="251"/>
      <c r="C159" s="251"/>
      <c r="D159" s="251"/>
      <c r="E159" s="251"/>
      <c r="F159" s="251"/>
      <c r="G159" s="251"/>
      <c r="H159" s="251"/>
      <c r="I159" s="251"/>
      <c r="J159" s="251"/>
      <c r="K159" s="251"/>
      <c r="L159" s="251"/>
      <c r="M159" s="251"/>
      <c r="N159" s="251"/>
      <c r="O159" s="251"/>
      <c r="P159" s="251"/>
      <c r="Q159" s="251"/>
      <c r="R159" s="251"/>
      <c r="S159" s="251"/>
      <c r="T159" s="251"/>
    </row>
    <row r="160" spans="1:20" x14ac:dyDescent="0.25">
      <c r="A160" s="251"/>
      <c r="B160" s="251"/>
      <c r="C160" s="251"/>
      <c r="D160" s="251"/>
      <c r="E160" s="251"/>
      <c r="F160" s="251"/>
      <c r="G160" s="251"/>
      <c r="H160" s="251"/>
      <c r="I160" s="251"/>
      <c r="J160" s="251"/>
      <c r="K160" s="251"/>
      <c r="L160" s="251"/>
      <c r="M160" s="251"/>
      <c r="N160" s="251"/>
      <c r="O160" s="251"/>
      <c r="P160" s="251"/>
      <c r="Q160" s="251"/>
      <c r="R160" s="251"/>
      <c r="S160" s="251"/>
      <c r="T160" s="251"/>
    </row>
    <row r="161" spans="1:20" x14ac:dyDescent="0.25">
      <c r="A161" s="251"/>
      <c r="B161" s="251"/>
      <c r="C161" s="251"/>
      <c r="D161" s="251"/>
      <c r="E161" s="251"/>
      <c r="F161" s="251"/>
      <c r="G161" s="251"/>
      <c r="H161" s="251"/>
      <c r="I161" s="251"/>
      <c r="J161" s="251"/>
      <c r="K161" s="251"/>
      <c r="L161" s="251"/>
      <c r="M161" s="251"/>
      <c r="N161" s="251"/>
      <c r="O161" s="251"/>
      <c r="P161" s="251"/>
      <c r="Q161" s="251"/>
      <c r="R161" s="251"/>
      <c r="S161" s="251"/>
      <c r="T161" s="251"/>
    </row>
    <row r="162" spans="1:20" x14ac:dyDescent="0.25">
      <c r="A162" s="251"/>
      <c r="B162" s="251"/>
      <c r="C162" s="251"/>
      <c r="D162" s="251"/>
      <c r="E162" s="251"/>
      <c r="F162" s="251"/>
      <c r="G162" s="251"/>
      <c r="H162" s="251"/>
      <c r="I162" s="251"/>
      <c r="J162" s="251"/>
      <c r="K162" s="251"/>
      <c r="L162" s="251"/>
      <c r="M162" s="251"/>
      <c r="N162" s="251"/>
      <c r="O162" s="251"/>
      <c r="P162" s="251"/>
      <c r="Q162" s="251"/>
      <c r="R162" s="251"/>
      <c r="S162" s="251"/>
      <c r="T162" s="251"/>
    </row>
    <row r="163" spans="1:20" x14ac:dyDescent="0.25">
      <c r="A163" s="251"/>
      <c r="B163" s="251"/>
      <c r="C163" s="251"/>
      <c r="D163" s="251"/>
      <c r="E163" s="251"/>
      <c r="F163" s="251"/>
      <c r="G163" s="251"/>
      <c r="H163" s="251"/>
      <c r="I163" s="251"/>
      <c r="J163" s="251"/>
      <c r="K163" s="251"/>
      <c r="L163" s="251"/>
      <c r="M163" s="251"/>
      <c r="N163" s="251"/>
      <c r="O163" s="251"/>
      <c r="P163" s="251"/>
      <c r="Q163" s="251"/>
      <c r="R163" s="251"/>
      <c r="S163" s="251"/>
      <c r="T163" s="251"/>
    </row>
    <row r="164" spans="1:20" x14ac:dyDescent="0.25">
      <c r="A164" s="251"/>
      <c r="B164" s="251"/>
      <c r="C164" s="251"/>
      <c r="D164" s="251"/>
      <c r="E164" s="251"/>
      <c r="F164" s="251"/>
      <c r="G164" s="251"/>
      <c r="H164" s="251"/>
      <c r="I164" s="251"/>
      <c r="J164" s="251"/>
      <c r="K164" s="251"/>
      <c r="L164" s="251"/>
      <c r="M164" s="251"/>
      <c r="N164" s="251"/>
      <c r="O164" s="251"/>
      <c r="P164" s="251"/>
      <c r="Q164" s="251"/>
      <c r="R164" s="251"/>
      <c r="S164" s="251"/>
      <c r="T164" s="251"/>
    </row>
    <row r="165" spans="1:20" x14ac:dyDescent="0.25">
      <c r="A165" s="251"/>
      <c r="B165" s="251"/>
      <c r="C165" s="251"/>
      <c r="D165" s="251"/>
      <c r="E165" s="251"/>
      <c r="F165" s="251"/>
      <c r="G165" s="251"/>
      <c r="H165" s="251"/>
      <c r="I165" s="251"/>
      <c r="J165" s="251"/>
      <c r="K165" s="251"/>
      <c r="L165" s="251"/>
      <c r="M165" s="251"/>
      <c r="N165" s="251"/>
      <c r="O165" s="251"/>
      <c r="P165" s="251"/>
      <c r="Q165" s="251"/>
      <c r="R165" s="251"/>
      <c r="S165" s="251"/>
      <c r="T165" s="251"/>
    </row>
    <row r="166" spans="1:20" x14ac:dyDescent="0.25">
      <c r="A166" s="251"/>
      <c r="B166" s="251"/>
      <c r="C166" s="251"/>
      <c r="D166" s="251"/>
      <c r="E166" s="251"/>
      <c r="F166" s="251"/>
      <c r="G166" s="251"/>
      <c r="H166" s="251"/>
      <c r="I166" s="251"/>
      <c r="J166" s="251"/>
      <c r="K166" s="251"/>
      <c r="L166" s="251"/>
      <c r="M166" s="251"/>
      <c r="N166" s="251"/>
      <c r="O166" s="251"/>
      <c r="P166" s="251"/>
      <c r="Q166" s="251"/>
      <c r="R166" s="251"/>
      <c r="S166" s="251"/>
      <c r="T166" s="251"/>
    </row>
    <row r="167" spans="1:20" x14ac:dyDescent="0.25">
      <c r="A167" s="251"/>
      <c r="B167" s="251"/>
      <c r="C167" s="251"/>
      <c r="D167" s="251"/>
      <c r="E167" s="251"/>
      <c r="F167" s="251"/>
      <c r="G167" s="251"/>
      <c r="H167" s="251"/>
      <c r="I167" s="251"/>
      <c r="J167" s="251"/>
      <c r="K167" s="251"/>
      <c r="L167" s="251"/>
      <c r="M167" s="251"/>
      <c r="N167" s="251"/>
      <c r="O167" s="251"/>
      <c r="P167" s="251"/>
      <c r="Q167" s="251"/>
      <c r="R167" s="251"/>
      <c r="S167" s="251"/>
      <c r="T167" s="251"/>
    </row>
    <row r="168" spans="1:20" x14ac:dyDescent="0.25">
      <c r="A168" s="251"/>
      <c r="B168" s="251"/>
      <c r="C168" s="251"/>
      <c r="D168" s="251"/>
      <c r="E168" s="251"/>
      <c r="F168" s="251"/>
      <c r="G168" s="251"/>
      <c r="H168" s="251"/>
      <c r="I168" s="251"/>
      <c r="J168" s="251"/>
      <c r="K168" s="251"/>
      <c r="L168" s="251"/>
      <c r="M168" s="251"/>
      <c r="N168" s="251"/>
      <c r="O168" s="251"/>
      <c r="P168" s="251"/>
      <c r="Q168" s="251"/>
      <c r="R168" s="251"/>
      <c r="S168" s="251"/>
      <c r="T168" s="251"/>
    </row>
    <row r="169" spans="1:20" x14ac:dyDescent="0.25">
      <c r="A169" s="251"/>
      <c r="B169" s="251"/>
      <c r="C169" s="251"/>
      <c r="D169" s="251"/>
      <c r="E169" s="251"/>
      <c r="F169" s="251"/>
      <c r="G169" s="251"/>
      <c r="H169" s="251"/>
      <c r="I169" s="251"/>
      <c r="J169" s="251"/>
      <c r="K169" s="251"/>
      <c r="L169" s="251"/>
      <c r="M169" s="251"/>
      <c r="N169" s="251"/>
      <c r="O169" s="251"/>
      <c r="P169" s="251"/>
      <c r="Q169" s="251"/>
      <c r="R169" s="251"/>
      <c r="S169" s="251"/>
      <c r="T169" s="251"/>
    </row>
    <row r="170" spans="1:20" x14ac:dyDescent="0.25">
      <c r="A170" s="251"/>
      <c r="B170" s="251"/>
      <c r="C170" s="251"/>
      <c r="D170" s="251"/>
      <c r="E170" s="251"/>
      <c r="F170" s="251"/>
      <c r="G170" s="251"/>
      <c r="H170" s="251"/>
      <c r="I170" s="251"/>
      <c r="J170" s="251"/>
      <c r="K170" s="251"/>
      <c r="L170" s="251"/>
      <c r="M170" s="251"/>
      <c r="N170" s="251"/>
      <c r="O170" s="251"/>
      <c r="P170" s="251"/>
      <c r="Q170" s="251"/>
      <c r="R170" s="251"/>
      <c r="S170" s="251"/>
      <c r="T170" s="251"/>
    </row>
    <row r="171" spans="1:20" x14ac:dyDescent="0.25">
      <c r="A171" s="251"/>
      <c r="B171" s="251"/>
      <c r="C171" s="251"/>
      <c r="D171" s="251"/>
      <c r="E171" s="251"/>
      <c r="F171" s="251"/>
      <c r="G171" s="251"/>
      <c r="H171" s="251"/>
      <c r="I171" s="251"/>
      <c r="J171" s="251"/>
      <c r="K171" s="251"/>
      <c r="L171" s="251"/>
      <c r="M171" s="251"/>
      <c r="N171" s="251"/>
      <c r="O171" s="251"/>
      <c r="P171" s="251"/>
      <c r="Q171" s="251"/>
      <c r="R171" s="251"/>
      <c r="S171" s="251"/>
      <c r="T171" s="251"/>
    </row>
    <row r="172" spans="1:20" x14ac:dyDescent="0.25">
      <c r="A172" s="251"/>
      <c r="B172" s="251"/>
      <c r="C172" s="251"/>
      <c r="D172" s="251"/>
      <c r="E172" s="251"/>
      <c r="F172" s="251"/>
      <c r="G172" s="251"/>
      <c r="H172" s="251"/>
      <c r="I172" s="251"/>
      <c r="J172" s="251"/>
      <c r="K172" s="251"/>
      <c r="L172" s="251"/>
      <c r="M172" s="251"/>
      <c r="N172" s="251"/>
      <c r="O172" s="251"/>
      <c r="P172" s="251"/>
      <c r="Q172" s="251"/>
      <c r="R172" s="251"/>
      <c r="S172" s="251"/>
      <c r="T172" s="251"/>
    </row>
    <row r="173" spans="1:20" x14ac:dyDescent="0.25">
      <c r="A173" s="251"/>
      <c r="B173" s="251"/>
      <c r="C173" s="251"/>
      <c r="D173" s="251"/>
      <c r="E173" s="251"/>
      <c r="F173" s="251"/>
      <c r="G173" s="251"/>
      <c r="H173" s="251"/>
      <c r="I173" s="251"/>
      <c r="J173" s="251"/>
      <c r="K173" s="251"/>
      <c r="L173" s="251"/>
      <c r="M173" s="251"/>
      <c r="N173" s="251"/>
      <c r="O173" s="251"/>
      <c r="P173" s="251"/>
      <c r="Q173" s="251"/>
      <c r="R173" s="251"/>
      <c r="S173" s="251"/>
      <c r="T173" s="251"/>
    </row>
    <row r="174" spans="1:20" x14ac:dyDescent="0.25">
      <c r="A174" s="251"/>
      <c r="B174" s="251"/>
      <c r="C174" s="251"/>
      <c r="D174" s="251"/>
      <c r="E174" s="251"/>
      <c r="F174" s="251"/>
      <c r="G174" s="251"/>
      <c r="H174" s="251"/>
      <c r="I174" s="251"/>
      <c r="J174" s="251"/>
      <c r="K174" s="251"/>
      <c r="L174" s="251"/>
      <c r="M174" s="251"/>
      <c r="N174" s="251"/>
      <c r="O174" s="251"/>
      <c r="P174" s="251"/>
      <c r="Q174" s="251"/>
      <c r="R174" s="251"/>
      <c r="S174" s="251"/>
      <c r="T174" s="251"/>
    </row>
    <row r="175" spans="1:20" x14ac:dyDescent="0.25">
      <c r="A175" s="251"/>
      <c r="B175" s="251"/>
      <c r="C175" s="251"/>
      <c r="D175" s="251"/>
      <c r="E175" s="251"/>
      <c r="F175" s="251"/>
      <c r="G175" s="251"/>
      <c r="H175" s="251"/>
      <c r="I175" s="251"/>
      <c r="J175" s="251"/>
      <c r="K175" s="251"/>
      <c r="L175" s="251"/>
      <c r="M175" s="251"/>
      <c r="N175" s="251"/>
      <c r="O175" s="251"/>
      <c r="P175" s="251"/>
      <c r="Q175" s="251"/>
      <c r="R175" s="251"/>
      <c r="S175" s="251"/>
      <c r="T175" s="251"/>
    </row>
    <row r="176" spans="1:20" x14ac:dyDescent="0.25">
      <c r="A176" s="251"/>
      <c r="B176" s="251"/>
      <c r="C176" s="251"/>
      <c r="D176" s="251"/>
      <c r="E176" s="251"/>
      <c r="F176" s="251"/>
      <c r="G176" s="251"/>
      <c r="H176" s="251"/>
      <c r="I176" s="251"/>
      <c r="J176" s="251"/>
      <c r="K176" s="251"/>
      <c r="L176" s="251"/>
      <c r="M176" s="251"/>
      <c r="N176" s="251"/>
      <c r="O176" s="251"/>
      <c r="P176" s="251"/>
      <c r="Q176" s="251"/>
      <c r="R176" s="251"/>
      <c r="S176" s="251"/>
      <c r="T176" s="251"/>
    </row>
    <row r="177" spans="1:20" x14ac:dyDescent="0.25">
      <c r="A177" s="251"/>
      <c r="B177" s="251"/>
      <c r="C177" s="251"/>
      <c r="D177" s="251"/>
      <c r="E177" s="251"/>
      <c r="F177" s="251"/>
      <c r="G177" s="251"/>
      <c r="H177" s="251"/>
      <c r="I177" s="251"/>
      <c r="J177" s="251"/>
      <c r="K177" s="251"/>
      <c r="L177" s="251"/>
      <c r="M177" s="251"/>
      <c r="N177" s="251"/>
      <c r="O177" s="251"/>
      <c r="P177" s="251"/>
      <c r="Q177" s="251"/>
      <c r="R177" s="251"/>
      <c r="S177" s="251"/>
      <c r="T177" s="251"/>
    </row>
    <row r="178" spans="1:20" x14ac:dyDescent="0.25">
      <c r="A178" s="251"/>
      <c r="B178" s="251"/>
      <c r="C178" s="251"/>
      <c r="D178" s="251"/>
      <c r="E178" s="251"/>
      <c r="F178" s="251"/>
      <c r="G178" s="251"/>
      <c r="H178" s="251"/>
      <c r="I178" s="251"/>
      <c r="J178" s="251"/>
      <c r="K178" s="251"/>
      <c r="L178" s="251"/>
      <c r="M178" s="251"/>
      <c r="N178" s="251"/>
      <c r="O178" s="251"/>
      <c r="P178" s="251"/>
      <c r="Q178" s="251"/>
      <c r="R178" s="251"/>
      <c r="S178" s="251"/>
      <c r="T178" s="251"/>
    </row>
    <row r="179" spans="1:20" x14ac:dyDescent="0.25">
      <c r="A179" s="251"/>
      <c r="B179" s="251"/>
      <c r="C179" s="251"/>
      <c r="D179" s="251"/>
      <c r="E179" s="251"/>
      <c r="F179" s="251"/>
      <c r="G179" s="251"/>
      <c r="H179" s="251"/>
      <c r="I179" s="251"/>
      <c r="J179" s="251"/>
      <c r="K179" s="251"/>
      <c r="L179" s="251"/>
      <c r="M179" s="251"/>
      <c r="N179" s="251"/>
      <c r="O179" s="251"/>
      <c r="P179" s="251"/>
      <c r="Q179" s="251"/>
      <c r="R179" s="251"/>
      <c r="S179" s="251"/>
      <c r="T179" s="251"/>
    </row>
    <row r="180" spans="1:20" x14ac:dyDescent="0.25">
      <c r="A180" s="251"/>
      <c r="B180" s="251"/>
      <c r="C180" s="251"/>
      <c r="D180" s="251"/>
      <c r="E180" s="251"/>
      <c r="F180" s="251"/>
      <c r="G180" s="251"/>
      <c r="H180" s="251"/>
      <c r="I180" s="251"/>
      <c r="J180" s="251"/>
      <c r="K180" s="251"/>
      <c r="L180" s="251"/>
      <c r="M180" s="251"/>
      <c r="N180" s="251"/>
      <c r="O180" s="251"/>
      <c r="P180" s="251"/>
      <c r="Q180" s="251"/>
      <c r="R180" s="251"/>
      <c r="S180" s="251"/>
      <c r="T180" s="251"/>
    </row>
    <row r="181" spans="1:20" x14ac:dyDescent="0.25">
      <c r="A181" s="251"/>
      <c r="B181" s="251"/>
      <c r="C181" s="251"/>
      <c r="D181" s="251"/>
      <c r="E181" s="251"/>
      <c r="F181" s="251"/>
      <c r="G181" s="251"/>
      <c r="H181" s="251"/>
      <c r="I181" s="251"/>
      <c r="J181" s="251"/>
      <c r="K181" s="251"/>
      <c r="L181" s="251"/>
      <c r="M181" s="251"/>
      <c r="N181" s="251"/>
      <c r="O181" s="251"/>
      <c r="P181" s="251"/>
      <c r="Q181" s="251"/>
      <c r="R181" s="251"/>
      <c r="S181" s="251"/>
      <c r="T181" s="251"/>
    </row>
    <row r="182" spans="1:20" x14ac:dyDescent="0.25">
      <c r="A182" s="251"/>
      <c r="B182" s="251"/>
      <c r="C182" s="251"/>
      <c r="D182" s="251"/>
      <c r="E182" s="251"/>
      <c r="F182" s="251"/>
      <c r="G182" s="251"/>
      <c r="H182" s="251"/>
      <c r="I182" s="251"/>
      <c r="J182" s="251"/>
      <c r="K182" s="251"/>
      <c r="L182" s="251"/>
      <c r="M182" s="251"/>
      <c r="N182" s="251"/>
      <c r="O182" s="251"/>
      <c r="P182" s="251"/>
      <c r="Q182" s="251"/>
      <c r="R182" s="251"/>
      <c r="S182" s="251"/>
      <c r="T182" s="251"/>
    </row>
    <row r="183" spans="1:20" x14ac:dyDescent="0.25">
      <c r="A183" s="251"/>
      <c r="B183" s="251"/>
      <c r="C183" s="251"/>
      <c r="D183" s="251"/>
      <c r="E183" s="251"/>
      <c r="F183" s="251"/>
      <c r="G183" s="251"/>
      <c r="H183" s="251"/>
      <c r="I183" s="251"/>
      <c r="J183" s="251"/>
      <c r="K183" s="251"/>
      <c r="L183" s="251"/>
      <c r="M183" s="251"/>
      <c r="N183" s="251"/>
      <c r="O183" s="251"/>
      <c r="P183" s="251"/>
      <c r="Q183" s="251"/>
      <c r="R183" s="251"/>
      <c r="S183" s="251"/>
      <c r="T183" s="251"/>
    </row>
    <row r="184" spans="1:20" x14ac:dyDescent="0.25">
      <c r="A184" s="251"/>
      <c r="B184" s="251"/>
      <c r="C184" s="251"/>
      <c r="D184" s="251"/>
      <c r="E184" s="251"/>
      <c r="F184" s="251"/>
      <c r="G184" s="251"/>
      <c r="H184" s="251"/>
      <c r="I184" s="251"/>
      <c r="J184" s="251"/>
      <c r="K184" s="251"/>
      <c r="L184" s="251"/>
      <c r="M184" s="251"/>
      <c r="N184" s="251"/>
      <c r="O184" s="251"/>
      <c r="P184" s="251"/>
      <c r="Q184" s="251"/>
      <c r="R184" s="251"/>
      <c r="S184" s="251"/>
      <c r="T184" s="251"/>
    </row>
    <row r="185" spans="1:20" x14ac:dyDescent="0.25">
      <c r="A185" s="251"/>
      <c r="B185" s="251"/>
      <c r="C185" s="251"/>
      <c r="D185" s="251"/>
      <c r="E185" s="251"/>
      <c r="F185" s="251"/>
      <c r="G185" s="251"/>
      <c r="H185" s="251"/>
      <c r="I185" s="251"/>
      <c r="J185" s="251"/>
      <c r="K185" s="251"/>
      <c r="L185" s="251"/>
      <c r="M185" s="251"/>
      <c r="N185" s="251"/>
      <c r="O185" s="251"/>
      <c r="P185" s="251"/>
      <c r="Q185" s="251"/>
      <c r="R185" s="251"/>
      <c r="S185" s="251"/>
      <c r="T185" s="251"/>
    </row>
    <row r="186" spans="1:20" x14ac:dyDescent="0.25">
      <c r="A186" s="251"/>
      <c r="B186" s="251"/>
      <c r="C186" s="251"/>
      <c r="D186" s="251"/>
      <c r="E186" s="251"/>
      <c r="F186" s="251"/>
      <c r="G186" s="251"/>
      <c r="H186" s="251"/>
      <c r="I186" s="251"/>
      <c r="J186" s="251"/>
      <c r="K186" s="251"/>
      <c r="L186" s="251"/>
      <c r="M186" s="251"/>
      <c r="N186" s="251"/>
      <c r="O186" s="251"/>
      <c r="P186" s="251"/>
      <c r="Q186" s="251"/>
      <c r="R186" s="251"/>
      <c r="S186" s="251"/>
      <c r="T186" s="251"/>
    </row>
    <row r="187" spans="1:20" x14ac:dyDescent="0.25">
      <c r="A187" s="251"/>
      <c r="B187" s="251"/>
      <c r="C187" s="251"/>
      <c r="D187" s="251"/>
      <c r="E187" s="251"/>
      <c r="F187" s="251"/>
      <c r="G187" s="251"/>
      <c r="H187" s="251"/>
      <c r="I187" s="251"/>
      <c r="J187" s="251"/>
      <c r="K187" s="251"/>
      <c r="L187" s="251"/>
      <c r="M187" s="251"/>
      <c r="N187" s="251"/>
      <c r="O187" s="251"/>
      <c r="P187" s="251"/>
      <c r="Q187" s="251"/>
      <c r="R187" s="251"/>
      <c r="S187" s="251"/>
      <c r="T187" s="251"/>
    </row>
    <row r="188" spans="1:20" x14ac:dyDescent="0.25">
      <c r="A188" s="251"/>
      <c r="B188" s="251"/>
      <c r="C188" s="251"/>
      <c r="D188" s="251"/>
      <c r="E188" s="251"/>
      <c r="F188" s="251"/>
      <c r="G188" s="251"/>
      <c r="H188" s="251"/>
      <c r="I188" s="251"/>
      <c r="J188" s="251"/>
      <c r="K188" s="251"/>
      <c r="L188" s="251"/>
      <c r="M188" s="251"/>
      <c r="N188" s="251"/>
      <c r="O188" s="251"/>
      <c r="P188" s="251"/>
      <c r="Q188" s="251"/>
      <c r="R188" s="251"/>
      <c r="S188" s="251"/>
      <c r="T188" s="251"/>
    </row>
    <row r="189" spans="1:20" x14ac:dyDescent="0.25">
      <c r="A189" s="251"/>
      <c r="B189" s="251"/>
      <c r="C189" s="251"/>
      <c r="D189" s="251"/>
      <c r="E189" s="251"/>
      <c r="F189" s="251"/>
      <c r="G189" s="251"/>
      <c r="H189" s="251"/>
      <c r="I189" s="251"/>
      <c r="J189" s="251"/>
      <c r="K189" s="251"/>
      <c r="L189" s="251"/>
      <c r="M189" s="251"/>
      <c r="N189" s="251"/>
      <c r="O189" s="251"/>
      <c r="P189" s="251"/>
      <c r="Q189" s="251"/>
      <c r="R189" s="251"/>
      <c r="S189" s="251"/>
      <c r="T189" s="251"/>
    </row>
    <row r="190" spans="1:20" x14ac:dyDescent="0.25">
      <c r="A190" s="251"/>
      <c r="B190" s="251"/>
      <c r="C190" s="251"/>
      <c r="D190" s="251"/>
      <c r="E190" s="251"/>
      <c r="F190" s="251"/>
      <c r="G190" s="251"/>
      <c r="H190" s="251"/>
      <c r="I190" s="251"/>
      <c r="J190" s="251"/>
      <c r="K190" s="251"/>
      <c r="L190" s="251"/>
      <c r="M190" s="251"/>
      <c r="N190" s="251"/>
      <c r="O190" s="251"/>
      <c r="P190" s="251"/>
      <c r="Q190" s="251"/>
      <c r="R190" s="251"/>
      <c r="S190" s="251"/>
      <c r="T190" s="251"/>
    </row>
    <row r="191" spans="1:20" x14ac:dyDescent="0.25">
      <c r="A191" s="251"/>
      <c r="B191" s="251"/>
      <c r="C191" s="251"/>
      <c r="D191" s="251"/>
      <c r="E191" s="251"/>
      <c r="F191" s="251"/>
      <c r="G191" s="251"/>
      <c r="H191" s="251"/>
      <c r="I191" s="251"/>
      <c r="J191" s="251"/>
      <c r="K191" s="251"/>
      <c r="L191" s="251"/>
      <c r="M191" s="251"/>
      <c r="N191" s="251"/>
      <c r="O191" s="251"/>
      <c r="P191" s="251"/>
      <c r="Q191" s="251"/>
      <c r="R191" s="251"/>
      <c r="S191" s="251"/>
      <c r="T191" s="251"/>
    </row>
    <row r="192" spans="1:20" x14ac:dyDescent="0.25">
      <c r="A192" s="251"/>
      <c r="B192" s="251"/>
      <c r="C192" s="251"/>
      <c r="D192" s="251"/>
      <c r="E192" s="251"/>
      <c r="F192" s="251"/>
      <c r="G192" s="251"/>
      <c r="H192" s="251"/>
      <c r="I192" s="251"/>
      <c r="J192" s="251"/>
      <c r="K192" s="251"/>
      <c r="L192" s="251"/>
      <c r="M192" s="251"/>
      <c r="N192" s="251"/>
      <c r="O192" s="251"/>
      <c r="P192" s="251"/>
      <c r="Q192" s="251"/>
      <c r="R192" s="251"/>
      <c r="S192" s="251"/>
      <c r="T192" s="251"/>
    </row>
    <row r="193" spans="1:20" x14ac:dyDescent="0.25">
      <c r="A193" s="251"/>
      <c r="B193" s="251"/>
      <c r="C193" s="251"/>
      <c r="D193" s="251"/>
      <c r="E193" s="251"/>
      <c r="F193" s="251"/>
      <c r="G193" s="251"/>
      <c r="H193" s="251"/>
      <c r="I193" s="251"/>
      <c r="J193" s="251"/>
      <c r="K193" s="251"/>
      <c r="L193" s="251"/>
      <c r="M193" s="251"/>
      <c r="N193" s="251"/>
      <c r="O193" s="251"/>
      <c r="P193" s="251"/>
      <c r="Q193" s="251"/>
      <c r="R193" s="251"/>
      <c r="S193" s="251"/>
      <c r="T193" s="251"/>
    </row>
    <row r="194" spans="1:20" x14ac:dyDescent="0.25">
      <c r="A194" s="251"/>
      <c r="B194" s="251"/>
      <c r="C194" s="251"/>
      <c r="D194" s="251"/>
      <c r="E194" s="251"/>
      <c r="F194" s="251"/>
      <c r="G194" s="251"/>
      <c r="H194" s="251"/>
      <c r="I194" s="251"/>
      <c r="J194" s="251"/>
      <c r="K194" s="251"/>
      <c r="L194" s="251"/>
      <c r="M194" s="251"/>
      <c r="N194" s="251"/>
      <c r="O194" s="251"/>
      <c r="P194" s="251"/>
      <c r="Q194" s="251"/>
      <c r="R194" s="251"/>
      <c r="S194" s="251"/>
      <c r="T194" s="251"/>
    </row>
    <row r="195" spans="1:20" x14ac:dyDescent="0.25">
      <c r="A195" s="251"/>
      <c r="B195" s="251"/>
      <c r="C195" s="251"/>
      <c r="D195" s="251"/>
      <c r="E195" s="251"/>
      <c r="F195" s="251"/>
      <c r="G195" s="251"/>
      <c r="H195" s="251"/>
      <c r="I195" s="251"/>
      <c r="J195" s="251"/>
      <c r="K195" s="251"/>
      <c r="L195" s="251"/>
      <c r="M195" s="251"/>
      <c r="N195" s="251"/>
      <c r="O195" s="251"/>
      <c r="P195" s="251"/>
      <c r="Q195" s="251"/>
      <c r="R195" s="251"/>
      <c r="S195" s="251"/>
      <c r="T195" s="251"/>
    </row>
    <row r="196" spans="1:20" x14ac:dyDescent="0.25">
      <c r="A196" s="251"/>
      <c r="B196" s="251"/>
      <c r="C196" s="251"/>
      <c r="D196" s="251"/>
      <c r="E196" s="251"/>
      <c r="F196" s="251"/>
      <c r="G196" s="251"/>
      <c r="H196" s="251"/>
      <c r="I196" s="251"/>
      <c r="J196" s="251"/>
      <c r="K196" s="251"/>
      <c r="L196" s="251"/>
      <c r="M196" s="251"/>
      <c r="N196" s="251"/>
      <c r="O196" s="251"/>
      <c r="P196" s="251"/>
      <c r="Q196" s="251"/>
      <c r="R196" s="251"/>
      <c r="S196" s="251"/>
      <c r="T196" s="251"/>
    </row>
    <row r="197" spans="1:20" x14ac:dyDescent="0.25">
      <c r="A197" s="251"/>
      <c r="B197" s="251"/>
      <c r="C197" s="251"/>
      <c r="D197" s="251"/>
      <c r="E197" s="251"/>
      <c r="F197" s="251"/>
      <c r="G197" s="251"/>
      <c r="H197" s="251"/>
      <c r="I197" s="251"/>
      <c r="J197" s="251"/>
      <c r="K197" s="251"/>
      <c r="L197" s="251"/>
      <c r="M197" s="251"/>
      <c r="N197" s="251"/>
      <c r="O197" s="251"/>
      <c r="P197" s="251"/>
      <c r="Q197" s="251"/>
      <c r="R197" s="251"/>
      <c r="S197" s="251"/>
      <c r="T197" s="251"/>
    </row>
    <row r="198" spans="1:20" x14ac:dyDescent="0.25">
      <c r="A198" s="251"/>
      <c r="B198" s="251"/>
      <c r="C198" s="251"/>
      <c r="D198" s="251"/>
      <c r="E198" s="251"/>
      <c r="F198" s="251"/>
      <c r="G198" s="251"/>
      <c r="H198" s="251"/>
      <c r="I198" s="251"/>
      <c r="J198" s="251"/>
      <c r="K198" s="251"/>
      <c r="L198" s="251"/>
      <c r="M198" s="251"/>
      <c r="N198" s="251"/>
      <c r="O198" s="251"/>
      <c r="P198" s="251"/>
      <c r="Q198" s="251"/>
      <c r="R198" s="251"/>
      <c r="S198" s="251"/>
      <c r="T198" s="251"/>
    </row>
    <row r="199" spans="1:20" x14ac:dyDescent="0.25">
      <c r="A199" s="251"/>
      <c r="B199" s="251"/>
      <c r="C199" s="251"/>
      <c r="D199" s="251"/>
      <c r="E199" s="251"/>
      <c r="F199" s="251"/>
      <c r="G199" s="251"/>
      <c r="H199" s="251"/>
      <c r="I199" s="251"/>
      <c r="J199" s="251"/>
      <c r="K199" s="251"/>
      <c r="L199" s="251"/>
      <c r="M199" s="251"/>
      <c r="N199" s="251"/>
      <c r="O199" s="251"/>
      <c r="P199" s="251"/>
      <c r="Q199" s="251"/>
      <c r="R199" s="251"/>
      <c r="S199" s="251"/>
      <c r="T199" s="251"/>
    </row>
    <row r="200" spans="1:20" x14ac:dyDescent="0.25">
      <c r="A200" s="251"/>
      <c r="B200" s="251"/>
      <c r="C200" s="251"/>
      <c r="D200" s="251"/>
      <c r="E200" s="251"/>
      <c r="F200" s="251"/>
      <c r="G200" s="251"/>
      <c r="H200" s="251"/>
      <c r="I200" s="251"/>
      <c r="J200" s="251"/>
      <c r="K200" s="251"/>
      <c r="L200" s="251"/>
      <c r="M200" s="251"/>
      <c r="N200" s="251"/>
      <c r="O200" s="251"/>
      <c r="P200" s="251"/>
      <c r="Q200" s="251"/>
      <c r="R200" s="251"/>
      <c r="S200" s="251"/>
      <c r="T200" s="251"/>
    </row>
    <row r="201" spans="1:20" x14ac:dyDescent="0.25">
      <c r="A201" s="251"/>
      <c r="B201" s="251"/>
      <c r="C201" s="251"/>
      <c r="D201" s="251"/>
      <c r="E201" s="251"/>
      <c r="F201" s="251"/>
      <c r="G201" s="251"/>
      <c r="H201" s="251"/>
      <c r="I201" s="251"/>
      <c r="J201" s="251"/>
      <c r="K201" s="251"/>
      <c r="L201" s="251"/>
      <c r="M201" s="251"/>
      <c r="N201" s="251"/>
      <c r="O201" s="251"/>
      <c r="P201" s="251"/>
      <c r="Q201" s="251"/>
      <c r="R201" s="251"/>
      <c r="S201" s="251"/>
      <c r="T201" s="251"/>
    </row>
    <row r="202" spans="1:20" x14ac:dyDescent="0.25">
      <c r="A202" s="251"/>
      <c r="B202" s="251"/>
      <c r="C202" s="251"/>
      <c r="D202" s="251"/>
      <c r="E202" s="251"/>
      <c r="F202" s="251"/>
      <c r="G202" s="251"/>
      <c r="H202" s="251"/>
      <c r="I202" s="251"/>
      <c r="J202" s="251"/>
      <c r="K202" s="251"/>
      <c r="L202" s="251"/>
      <c r="M202" s="251"/>
      <c r="N202" s="251"/>
      <c r="O202" s="251"/>
      <c r="P202" s="251"/>
      <c r="Q202" s="251"/>
      <c r="R202" s="251"/>
      <c r="S202" s="251"/>
      <c r="T202" s="251"/>
    </row>
    <row r="203" spans="1:20" x14ac:dyDescent="0.25">
      <c r="A203" s="251"/>
      <c r="B203" s="251"/>
      <c r="C203" s="251"/>
      <c r="D203" s="251"/>
      <c r="E203" s="251"/>
      <c r="F203" s="251"/>
      <c r="G203" s="251"/>
      <c r="H203" s="251"/>
      <c r="I203" s="251"/>
      <c r="J203" s="251"/>
      <c r="K203" s="251"/>
      <c r="L203" s="251"/>
      <c r="M203" s="251"/>
      <c r="N203" s="251"/>
      <c r="O203" s="251"/>
      <c r="P203" s="251"/>
      <c r="Q203" s="251"/>
      <c r="R203" s="251"/>
      <c r="S203" s="251"/>
      <c r="T203" s="251"/>
    </row>
    <row r="204" spans="1:20" x14ac:dyDescent="0.25">
      <c r="A204" s="251"/>
      <c r="B204" s="251"/>
      <c r="C204" s="251"/>
      <c r="D204" s="251"/>
      <c r="E204" s="251"/>
      <c r="F204" s="251"/>
      <c r="G204" s="251"/>
      <c r="H204" s="251"/>
      <c r="I204" s="251"/>
      <c r="J204" s="251"/>
      <c r="K204" s="251"/>
      <c r="L204" s="251"/>
      <c r="M204" s="251"/>
      <c r="N204" s="251"/>
      <c r="O204" s="251"/>
      <c r="P204" s="251"/>
      <c r="Q204" s="251"/>
      <c r="R204" s="251"/>
      <c r="S204" s="251"/>
      <c r="T204" s="251"/>
    </row>
    <row r="205" spans="1:20" x14ac:dyDescent="0.25">
      <c r="A205" s="251"/>
      <c r="B205" s="251"/>
      <c r="C205" s="251"/>
      <c r="D205" s="251"/>
      <c r="E205" s="251"/>
      <c r="F205" s="251"/>
      <c r="G205" s="251"/>
      <c r="H205" s="251"/>
      <c r="I205" s="251"/>
      <c r="J205" s="251"/>
      <c r="K205" s="251"/>
      <c r="L205" s="251"/>
      <c r="M205" s="251"/>
      <c r="N205" s="251"/>
      <c r="O205" s="251"/>
      <c r="P205" s="251"/>
      <c r="Q205" s="251"/>
      <c r="R205" s="251"/>
      <c r="S205" s="251"/>
      <c r="T205" s="251"/>
    </row>
    <row r="206" spans="1:20" x14ac:dyDescent="0.25">
      <c r="A206" s="251"/>
      <c r="B206" s="251"/>
      <c r="C206" s="251"/>
      <c r="D206" s="251"/>
      <c r="E206" s="251"/>
      <c r="F206" s="251"/>
      <c r="G206" s="251"/>
      <c r="H206" s="251"/>
      <c r="I206" s="251"/>
      <c r="J206" s="251"/>
      <c r="K206" s="251"/>
      <c r="L206" s="251"/>
      <c r="M206" s="251"/>
      <c r="N206" s="251"/>
      <c r="O206" s="251"/>
      <c r="P206" s="251"/>
      <c r="Q206" s="251"/>
      <c r="R206" s="251"/>
      <c r="S206" s="251"/>
      <c r="T206" s="251"/>
    </row>
    <row r="207" spans="1:20" x14ac:dyDescent="0.25">
      <c r="A207" s="251"/>
      <c r="B207" s="251"/>
      <c r="C207" s="251"/>
      <c r="D207" s="251"/>
      <c r="E207" s="251"/>
      <c r="F207" s="251"/>
      <c r="G207" s="251"/>
      <c r="H207" s="251"/>
      <c r="I207" s="251"/>
      <c r="J207" s="251"/>
      <c r="K207" s="251"/>
      <c r="L207" s="251"/>
      <c r="M207" s="251"/>
      <c r="N207" s="251"/>
      <c r="O207" s="251"/>
      <c r="P207" s="251"/>
      <c r="Q207" s="251"/>
      <c r="R207" s="251"/>
      <c r="S207" s="251"/>
      <c r="T207" s="251"/>
    </row>
    <row r="208" spans="1:20" x14ac:dyDescent="0.25">
      <c r="A208" s="251"/>
      <c r="B208" s="251"/>
      <c r="C208" s="251"/>
      <c r="D208" s="251"/>
      <c r="E208" s="251"/>
      <c r="F208" s="251"/>
      <c r="G208" s="251"/>
      <c r="H208" s="251"/>
      <c r="I208" s="251"/>
      <c r="J208" s="251"/>
      <c r="K208" s="251"/>
      <c r="L208" s="251"/>
      <c r="M208" s="251"/>
      <c r="N208" s="251"/>
      <c r="O208" s="251"/>
      <c r="P208" s="251"/>
      <c r="Q208" s="251"/>
      <c r="R208" s="251"/>
      <c r="S208" s="251"/>
      <c r="T208" s="251"/>
    </row>
    <row r="209" spans="1:20" x14ac:dyDescent="0.25">
      <c r="A209" s="251"/>
      <c r="B209" s="251"/>
      <c r="C209" s="251"/>
      <c r="D209" s="251"/>
      <c r="E209" s="251"/>
      <c r="F209" s="251"/>
      <c r="G209" s="251"/>
      <c r="H209" s="251"/>
      <c r="I209" s="251"/>
      <c r="J209" s="251"/>
      <c r="K209" s="251"/>
      <c r="L209" s="251"/>
      <c r="M209" s="251"/>
      <c r="N209" s="251"/>
      <c r="O209" s="251"/>
      <c r="P209" s="251"/>
      <c r="Q209" s="251"/>
      <c r="R209" s="251"/>
      <c r="S209" s="251"/>
      <c r="T209" s="251"/>
    </row>
    <row r="210" spans="1:20" x14ac:dyDescent="0.25">
      <c r="A210" s="251"/>
      <c r="B210" s="251"/>
      <c r="C210" s="251"/>
      <c r="D210" s="251"/>
      <c r="E210" s="251"/>
      <c r="F210" s="251"/>
      <c r="G210" s="251"/>
      <c r="H210" s="251"/>
      <c r="I210" s="251"/>
      <c r="J210" s="251"/>
      <c r="K210" s="251"/>
      <c r="L210" s="251"/>
      <c r="M210" s="251"/>
      <c r="N210" s="251"/>
      <c r="O210" s="251"/>
      <c r="P210" s="251"/>
      <c r="Q210" s="251"/>
      <c r="R210" s="251"/>
      <c r="S210" s="251"/>
      <c r="T210" s="251"/>
    </row>
    <row r="211" spans="1:20" x14ac:dyDescent="0.25">
      <c r="A211" s="251"/>
      <c r="B211" s="251"/>
      <c r="C211" s="251"/>
      <c r="D211" s="251"/>
      <c r="E211" s="251"/>
      <c r="F211" s="251"/>
      <c r="G211" s="251"/>
      <c r="H211" s="251"/>
      <c r="I211" s="251"/>
      <c r="J211" s="251"/>
      <c r="K211" s="251"/>
      <c r="L211" s="251"/>
      <c r="M211" s="251"/>
      <c r="N211" s="251"/>
      <c r="O211" s="251"/>
      <c r="P211" s="251"/>
      <c r="Q211" s="251"/>
      <c r="R211" s="251"/>
      <c r="S211" s="251"/>
      <c r="T211" s="251"/>
    </row>
    <row r="212" spans="1:20" x14ac:dyDescent="0.25">
      <c r="A212" s="251"/>
      <c r="B212" s="251"/>
      <c r="C212" s="251"/>
      <c r="D212" s="251"/>
      <c r="E212" s="251"/>
      <c r="F212" s="251"/>
      <c r="G212" s="251"/>
      <c r="H212" s="251"/>
      <c r="I212" s="251"/>
      <c r="J212" s="251"/>
      <c r="K212" s="251"/>
      <c r="L212" s="251"/>
      <c r="M212" s="251"/>
      <c r="N212" s="251"/>
      <c r="O212" s="251"/>
      <c r="P212" s="251"/>
      <c r="Q212" s="251"/>
      <c r="R212" s="251"/>
      <c r="S212" s="251"/>
      <c r="T212" s="251"/>
    </row>
    <row r="213" spans="1:20" x14ac:dyDescent="0.25">
      <c r="A213" s="251"/>
      <c r="B213" s="251"/>
      <c r="C213" s="251"/>
      <c r="D213" s="251"/>
      <c r="E213" s="251"/>
      <c r="F213" s="251"/>
      <c r="G213" s="251"/>
      <c r="H213" s="251"/>
      <c r="I213" s="251"/>
      <c r="J213" s="251"/>
      <c r="K213" s="251"/>
      <c r="L213" s="251"/>
      <c r="M213" s="251"/>
      <c r="N213" s="251"/>
      <c r="O213" s="251"/>
      <c r="P213" s="251"/>
      <c r="Q213" s="251"/>
      <c r="R213" s="251"/>
      <c r="S213" s="251"/>
      <c r="T213" s="251"/>
    </row>
    <row r="214" spans="1:20" x14ac:dyDescent="0.25">
      <c r="A214" s="251"/>
      <c r="B214" s="251"/>
      <c r="C214" s="251"/>
      <c r="D214" s="251"/>
      <c r="E214" s="251"/>
      <c r="F214" s="251"/>
      <c r="G214" s="251"/>
      <c r="H214" s="251"/>
      <c r="I214" s="251"/>
      <c r="J214" s="251"/>
      <c r="K214" s="251"/>
      <c r="L214" s="251"/>
      <c r="M214" s="251"/>
      <c r="N214" s="251"/>
      <c r="O214" s="251"/>
      <c r="P214" s="251"/>
      <c r="Q214" s="251"/>
      <c r="R214" s="251"/>
      <c r="S214" s="251"/>
      <c r="T214" s="251"/>
    </row>
    <row r="215" spans="1:20" x14ac:dyDescent="0.25">
      <c r="A215" s="251"/>
      <c r="B215" s="251"/>
      <c r="C215" s="251"/>
      <c r="D215" s="251"/>
      <c r="E215" s="251"/>
      <c r="F215" s="251"/>
      <c r="G215" s="251"/>
      <c r="H215" s="251"/>
      <c r="I215" s="251"/>
      <c r="J215" s="251"/>
      <c r="K215" s="251"/>
      <c r="L215" s="251"/>
      <c r="M215" s="251"/>
      <c r="N215" s="251"/>
      <c r="O215" s="251"/>
      <c r="P215" s="251"/>
      <c r="Q215" s="251"/>
      <c r="R215" s="251"/>
      <c r="S215" s="251"/>
      <c r="T215" s="251"/>
    </row>
    <row r="216" spans="1:20" x14ac:dyDescent="0.25">
      <c r="A216" s="251"/>
      <c r="B216" s="251"/>
      <c r="C216" s="251"/>
      <c r="D216" s="251"/>
      <c r="E216" s="251"/>
      <c r="F216" s="251"/>
      <c r="G216" s="251"/>
      <c r="H216" s="251"/>
      <c r="I216" s="251"/>
      <c r="J216" s="251"/>
      <c r="K216" s="251"/>
      <c r="L216" s="251"/>
      <c r="M216" s="251"/>
      <c r="N216" s="251"/>
      <c r="O216" s="251"/>
      <c r="P216" s="251"/>
      <c r="Q216" s="251"/>
      <c r="R216" s="251"/>
      <c r="S216" s="251"/>
      <c r="T216" s="251"/>
    </row>
    <row r="217" spans="1:20" x14ac:dyDescent="0.25">
      <c r="A217" s="251"/>
      <c r="B217" s="251"/>
      <c r="C217" s="251"/>
      <c r="D217" s="251"/>
      <c r="E217" s="251"/>
      <c r="F217" s="251"/>
      <c r="G217" s="251"/>
      <c r="H217" s="251"/>
      <c r="I217" s="251"/>
      <c r="J217" s="251"/>
      <c r="K217" s="251"/>
      <c r="L217" s="251"/>
      <c r="M217" s="251"/>
      <c r="N217" s="251"/>
      <c r="O217" s="251"/>
      <c r="P217" s="251"/>
      <c r="Q217" s="251"/>
      <c r="R217" s="251"/>
      <c r="S217" s="251"/>
      <c r="T217" s="251"/>
    </row>
    <row r="218" spans="1:20" x14ac:dyDescent="0.25">
      <c r="A218" s="251"/>
      <c r="B218" s="251"/>
      <c r="C218" s="251"/>
      <c r="D218" s="251"/>
      <c r="E218" s="251"/>
      <c r="F218" s="251"/>
      <c r="G218" s="251"/>
      <c r="H218" s="251"/>
      <c r="I218" s="251"/>
      <c r="J218" s="251"/>
      <c r="K218" s="251"/>
      <c r="L218" s="251"/>
      <c r="M218" s="251"/>
      <c r="N218" s="251"/>
      <c r="O218" s="251"/>
      <c r="P218" s="251"/>
      <c r="Q218" s="251"/>
      <c r="R218" s="251"/>
      <c r="S218" s="251"/>
      <c r="T218" s="251"/>
    </row>
    <row r="219" spans="1:20" x14ac:dyDescent="0.25">
      <c r="A219" s="251"/>
      <c r="B219" s="251"/>
      <c r="C219" s="251"/>
      <c r="D219" s="251"/>
      <c r="E219" s="251"/>
      <c r="F219" s="251"/>
      <c r="G219" s="251"/>
      <c r="H219" s="251"/>
      <c r="I219" s="251"/>
      <c r="J219" s="251"/>
      <c r="K219" s="251"/>
      <c r="L219" s="251"/>
      <c r="M219" s="251"/>
      <c r="N219" s="251"/>
      <c r="O219" s="251"/>
      <c r="P219" s="251"/>
      <c r="Q219" s="251"/>
      <c r="R219" s="251"/>
      <c r="S219" s="251"/>
      <c r="T219" s="251"/>
    </row>
    <row r="220" spans="1:20" x14ac:dyDescent="0.25">
      <c r="A220" s="251"/>
      <c r="B220" s="251"/>
      <c r="C220" s="251"/>
      <c r="D220" s="251"/>
      <c r="E220" s="251"/>
      <c r="F220" s="251"/>
      <c r="G220" s="251"/>
      <c r="H220" s="251"/>
      <c r="I220" s="251"/>
      <c r="J220" s="251"/>
      <c r="K220" s="251"/>
      <c r="L220" s="251"/>
      <c r="M220" s="251"/>
      <c r="N220" s="251"/>
      <c r="O220" s="251"/>
      <c r="P220" s="251"/>
      <c r="Q220" s="251"/>
      <c r="R220" s="251"/>
      <c r="S220" s="251"/>
      <c r="T220" s="251"/>
    </row>
    <row r="221" spans="1:20" x14ac:dyDescent="0.25">
      <c r="A221" s="251"/>
      <c r="B221" s="251"/>
      <c r="C221" s="251"/>
      <c r="D221" s="251"/>
      <c r="E221" s="251"/>
      <c r="F221" s="251"/>
      <c r="G221" s="251"/>
      <c r="H221" s="251"/>
      <c r="I221" s="251"/>
      <c r="J221" s="251"/>
      <c r="K221" s="251"/>
      <c r="L221" s="251"/>
      <c r="M221" s="251"/>
      <c r="N221" s="251"/>
      <c r="O221" s="251"/>
      <c r="P221" s="251"/>
      <c r="Q221" s="251"/>
      <c r="R221" s="251"/>
      <c r="S221" s="251"/>
      <c r="T221" s="251"/>
    </row>
    <row r="222" spans="1:20" x14ac:dyDescent="0.25">
      <c r="A222" s="251"/>
      <c r="B222" s="251"/>
      <c r="C222" s="251"/>
      <c r="D222" s="251"/>
      <c r="E222" s="251"/>
      <c r="F222" s="251"/>
      <c r="G222" s="251"/>
      <c r="H222" s="251"/>
      <c r="I222" s="251"/>
      <c r="J222" s="251"/>
      <c r="K222" s="251"/>
      <c r="L222" s="251"/>
      <c r="M222" s="251"/>
      <c r="N222" s="251"/>
      <c r="O222" s="251"/>
      <c r="P222" s="251"/>
      <c r="Q222" s="251"/>
      <c r="R222" s="251"/>
      <c r="S222" s="251"/>
      <c r="T222" s="251"/>
    </row>
    <row r="223" spans="1:20" x14ac:dyDescent="0.25">
      <c r="A223" s="251"/>
      <c r="B223" s="251"/>
      <c r="C223" s="251"/>
      <c r="D223" s="251"/>
      <c r="E223" s="251"/>
      <c r="F223" s="251"/>
      <c r="G223" s="251"/>
      <c r="H223" s="251"/>
      <c r="I223" s="251"/>
      <c r="J223" s="251"/>
      <c r="K223" s="251"/>
      <c r="L223" s="251"/>
      <c r="M223" s="251"/>
      <c r="N223" s="251"/>
      <c r="O223" s="251"/>
      <c r="P223" s="251"/>
      <c r="Q223" s="251"/>
      <c r="R223" s="251"/>
      <c r="S223" s="251"/>
      <c r="T223" s="251"/>
    </row>
    <row r="224" spans="1:20" x14ac:dyDescent="0.25">
      <c r="A224" s="251"/>
      <c r="B224" s="251"/>
      <c r="C224" s="251"/>
      <c r="D224" s="251"/>
      <c r="E224" s="251"/>
      <c r="F224" s="251"/>
      <c r="G224" s="251"/>
      <c r="H224" s="251"/>
      <c r="I224" s="251"/>
      <c r="J224" s="251"/>
      <c r="K224" s="251"/>
      <c r="L224" s="251"/>
      <c r="M224" s="251"/>
      <c r="N224" s="251"/>
      <c r="O224" s="251"/>
      <c r="P224" s="251"/>
      <c r="Q224" s="251"/>
      <c r="R224" s="251"/>
      <c r="S224" s="251"/>
      <c r="T224" s="251"/>
    </row>
    <row r="225" spans="1:20" x14ac:dyDescent="0.25">
      <c r="A225" s="251"/>
      <c r="B225" s="251"/>
      <c r="C225" s="251"/>
      <c r="D225" s="251"/>
      <c r="E225" s="251"/>
      <c r="F225" s="251"/>
      <c r="G225" s="251"/>
      <c r="H225" s="251"/>
      <c r="I225" s="251"/>
      <c r="J225" s="251"/>
      <c r="K225" s="251"/>
      <c r="L225" s="251"/>
      <c r="M225" s="251"/>
      <c r="N225" s="251"/>
      <c r="O225" s="251"/>
      <c r="P225" s="251"/>
      <c r="Q225" s="251"/>
      <c r="R225" s="251"/>
      <c r="S225" s="251"/>
      <c r="T225" s="251"/>
    </row>
    <row r="226" spans="1:20" x14ac:dyDescent="0.25">
      <c r="A226" s="251"/>
      <c r="B226" s="251"/>
      <c r="C226" s="251"/>
      <c r="D226" s="251"/>
      <c r="E226" s="251"/>
      <c r="F226" s="251"/>
      <c r="G226" s="251"/>
      <c r="H226" s="251"/>
      <c r="I226" s="251"/>
      <c r="J226" s="251"/>
      <c r="K226" s="251"/>
      <c r="L226" s="251"/>
      <c r="M226" s="251"/>
      <c r="N226" s="251"/>
      <c r="O226" s="251"/>
      <c r="P226" s="251"/>
      <c r="Q226" s="251"/>
      <c r="R226" s="251"/>
      <c r="S226" s="251"/>
      <c r="T226" s="251"/>
    </row>
    <row r="227" spans="1:20" x14ac:dyDescent="0.25">
      <c r="A227" s="251"/>
      <c r="B227" s="251"/>
      <c r="C227" s="251"/>
      <c r="D227" s="251"/>
      <c r="E227" s="251"/>
      <c r="F227" s="251"/>
      <c r="G227" s="251"/>
      <c r="H227" s="251"/>
      <c r="I227" s="251"/>
      <c r="J227" s="251"/>
      <c r="K227" s="251"/>
      <c r="L227" s="251"/>
      <c r="M227" s="251"/>
      <c r="N227" s="251"/>
      <c r="O227" s="251"/>
      <c r="P227" s="251"/>
      <c r="Q227" s="251"/>
      <c r="R227" s="251"/>
      <c r="S227" s="251"/>
      <c r="T227" s="251"/>
    </row>
    <row r="228" spans="1:20" x14ac:dyDescent="0.25">
      <c r="A228" s="251"/>
      <c r="B228" s="251"/>
      <c r="C228" s="251"/>
      <c r="D228" s="251"/>
      <c r="E228" s="251"/>
      <c r="F228" s="251"/>
      <c r="G228" s="251"/>
      <c r="H228" s="251"/>
      <c r="I228" s="251"/>
      <c r="J228" s="251"/>
      <c r="K228" s="251"/>
      <c r="L228" s="251"/>
      <c r="M228" s="251"/>
      <c r="N228" s="251"/>
      <c r="O228" s="251"/>
      <c r="P228" s="251"/>
      <c r="Q228" s="251"/>
      <c r="R228" s="251"/>
      <c r="S228" s="251"/>
      <c r="T228" s="251"/>
    </row>
    <row r="229" spans="1:20" x14ac:dyDescent="0.25">
      <c r="A229" s="251"/>
      <c r="B229" s="251"/>
      <c r="C229" s="251"/>
      <c r="D229" s="251"/>
      <c r="E229" s="251"/>
      <c r="F229" s="251"/>
      <c r="G229" s="251"/>
      <c r="H229" s="251"/>
      <c r="I229" s="251"/>
      <c r="J229" s="251"/>
      <c r="K229" s="251"/>
      <c r="L229" s="251"/>
      <c r="M229" s="251"/>
      <c r="N229" s="251"/>
      <c r="O229" s="251"/>
      <c r="P229" s="251"/>
      <c r="Q229" s="251"/>
      <c r="R229" s="251"/>
      <c r="S229" s="251"/>
      <c r="T229" s="251"/>
    </row>
    <row r="230" spans="1:20" x14ac:dyDescent="0.25">
      <c r="A230" s="251"/>
      <c r="B230" s="251"/>
      <c r="C230" s="251"/>
      <c r="D230" s="251"/>
      <c r="E230" s="251"/>
      <c r="F230" s="251"/>
      <c r="G230" s="251"/>
      <c r="H230" s="251"/>
      <c r="I230" s="251"/>
      <c r="J230" s="251"/>
      <c r="K230" s="251"/>
      <c r="L230" s="251"/>
      <c r="M230" s="251"/>
      <c r="N230" s="251"/>
      <c r="O230" s="251"/>
      <c r="P230" s="251"/>
      <c r="Q230" s="251"/>
      <c r="R230" s="251"/>
      <c r="S230" s="251"/>
      <c r="T230" s="251"/>
    </row>
    <row r="231" spans="1:20" x14ac:dyDescent="0.25">
      <c r="A231" s="251"/>
      <c r="B231" s="251"/>
      <c r="C231" s="251"/>
      <c r="D231" s="251"/>
      <c r="E231" s="251"/>
      <c r="F231" s="251"/>
      <c r="G231" s="251"/>
      <c r="H231" s="251"/>
      <c r="I231" s="251"/>
      <c r="J231" s="251"/>
      <c r="K231" s="251"/>
      <c r="L231" s="251"/>
      <c r="M231" s="251"/>
      <c r="N231" s="251"/>
      <c r="O231" s="251"/>
      <c r="P231" s="251"/>
      <c r="Q231" s="251"/>
      <c r="R231" s="251"/>
      <c r="S231" s="251"/>
      <c r="T231" s="251"/>
    </row>
    <row r="232" spans="1:20" x14ac:dyDescent="0.25">
      <c r="A232" s="251"/>
      <c r="B232" s="251"/>
      <c r="C232" s="251"/>
      <c r="D232" s="251"/>
      <c r="E232" s="251"/>
      <c r="F232" s="251"/>
      <c r="G232" s="251"/>
      <c r="H232" s="251"/>
      <c r="I232" s="251"/>
      <c r="J232" s="251"/>
      <c r="K232" s="251"/>
      <c r="L232" s="251"/>
      <c r="M232" s="251"/>
      <c r="N232" s="251"/>
      <c r="O232" s="251"/>
      <c r="P232" s="251"/>
      <c r="Q232" s="251"/>
      <c r="R232" s="251"/>
      <c r="S232" s="251"/>
      <c r="T232" s="251"/>
    </row>
    <row r="233" spans="1:20" x14ac:dyDescent="0.25">
      <c r="A233" s="251"/>
      <c r="B233" s="251"/>
      <c r="C233" s="251"/>
      <c r="D233" s="251"/>
      <c r="E233" s="251"/>
      <c r="F233" s="251"/>
      <c r="G233" s="251"/>
      <c r="H233" s="251"/>
      <c r="I233" s="251"/>
      <c r="J233" s="251"/>
      <c r="K233" s="251"/>
      <c r="L233" s="251"/>
      <c r="M233" s="251"/>
      <c r="N233" s="251"/>
      <c r="O233" s="251"/>
      <c r="P233" s="251"/>
      <c r="Q233" s="251"/>
      <c r="R233" s="251"/>
      <c r="S233" s="251"/>
      <c r="T233" s="251"/>
    </row>
    <row r="234" spans="1:20" x14ac:dyDescent="0.25">
      <c r="A234" s="251"/>
      <c r="B234" s="251"/>
      <c r="C234" s="251"/>
      <c r="D234" s="251"/>
      <c r="E234" s="251"/>
      <c r="F234" s="251"/>
      <c r="G234" s="251"/>
      <c r="H234" s="251"/>
      <c r="I234" s="251"/>
      <c r="J234" s="251"/>
      <c r="K234" s="251"/>
      <c r="L234" s="251"/>
      <c r="M234" s="251"/>
      <c r="N234" s="251"/>
      <c r="O234" s="251"/>
      <c r="P234" s="251"/>
      <c r="Q234" s="251"/>
      <c r="R234" s="251"/>
      <c r="S234" s="251"/>
      <c r="T234" s="251"/>
    </row>
    <row r="235" spans="1:20" x14ac:dyDescent="0.25">
      <c r="A235" s="251"/>
      <c r="B235" s="251"/>
      <c r="C235" s="251"/>
      <c r="D235" s="251"/>
      <c r="E235" s="251"/>
      <c r="F235" s="251"/>
      <c r="G235" s="251"/>
      <c r="H235" s="251"/>
      <c r="I235" s="251"/>
      <c r="J235" s="251"/>
      <c r="K235" s="251"/>
      <c r="L235" s="251"/>
      <c r="M235" s="251"/>
      <c r="N235" s="251"/>
      <c r="O235" s="251"/>
      <c r="P235" s="251"/>
      <c r="Q235" s="251"/>
      <c r="R235" s="251"/>
      <c r="S235" s="251"/>
      <c r="T235" s="251"/>
    </row>
    <row r="236" spans="1:20" x14ac:dyDescent="0.25">
      <c r="A236" s="251"/>
      <c r="B236" s="251"/>
      <c r="C236" s="251"/>
      <c r="D236" s="251"/>
      <c r="E236" s="251"/>
      <c r="F236" s="251"/>
      <c r="G236" s="251"/>
      <c r="H236" s="251"/>
      <c r="I236" s="251"/>
      <c r="J236" s="251"/>
      <c r="K236" s="251"/>
      <c r="L236" s="251"/>
      <c r="M236" s="251"/>
      <c r="N236" s="251"/>
      <c r="O236" s="251"/>
      <c r="P236" s="251"/>
      <c r="Q236" s="251"/>
      <c r="R236" s="251"/>
      <c r="S236" s="251"/>
      <c r="T236" s="251"/>
    </row>
    <row r="237" spans="1:20" x14ac:dyDescent="0.25">
      <c r="A237" s="251"/>
      <c r="B237" s="251"/>
      <c r="C237" s="251"/>
      <c r="D237" s="251"/>
      <c r="E237" s="251"/>
      <c r="F237" s="251"/>
      <c r="G237" s="251"/>
      <c r="H237" s="251"/>
      <c r="I237" s="251"/>
      <c r="J237" s="251"/>
      <c r="K237" s="251"/>
      <c r="L237" s="251"/>
      <c r="M237" s="251"/>
      <c r="N237" s="251"/>
      <c r="O237" s="251"/>
      <c r="P237" s="251"/>
      <c r="Q237" s="251"/>
      <c r="R237" s="251"/>
      <c r="S237" s="251"/>
      <c r="T237" s="251"/>
    </row>
    <row r="238" spans="1:20" x14ac:dyDescent="0.25">
      <c r="A238" s="251"/>
      <c r="B238" s="251"/>
      <c r="C238" s="251"/>
      <c r="D238" s="251"/>
      <c r="E238" s="251"/>
      <c r="F238" s="251"/>
      <c r="G238" s="251"/>
      <c r="H238" s="251"/>
      <c r="I238" s="251"/>
      <c r="J238" s="251"/>
      <c r="K238" s="251"/>
      <c r="L238" s="251"/>
      <c r="M238" s="251"/>
      <c r="N238" s="251"/>
      <c r="O238" s="251"/>
      <c r="P238" s="251"/>
      <c r="Q238" s="251"/>
      <c r="R238" s="251"/>
      <c r="S238" s="251"/>
      <c r="T238" s="251"/>
    </row>
    <row r="239" spans="1:20" x14ac:dyDescent="0.25">
      <c r="A239" s="251"/>
      <c r="B239" s="251"/>
      <c r="C239" s="251"/>
      <c r="D239" s="251"/>
      <c r="E239" s="251"/>
      <c r="F239" s="251"/>
      <c r="G239" s="251"/>
      <c r="H239" s="251"/>
      <c r="I239" s="251"/>
      <c r="J239" s="251"/>
      <c r="K239" s="251"/>
      <c r="L239" s="251"/>
      <c r="M239" s="251"/>
      <c r="N239" s="251"/>
      <c r="O239" s="251"/>
      <c r="P239" s="251"/>
      <c r="Q239" s="251"/>
      <c r="R239" s="251"/>
      <c r="S239" s="251"/>
      <c r="T239" s="251"/>
    </row>
    <row r="240" spans="1:20" x14ac:dyDescent="0.25">
      <c r="A240" s="251"/>
      <c r="B240" s="251"/>
      <c r="C240" s="251"/>
      <c r="D240" s="251"/>
      <c r="E240" s="251"/>
      <c r="F240" s="251"/>
      <c r="G240" s="251"/>
      <c r="H240" s="251"/>
      <c r="I240" s="251"/>
      <c r="J240" s="251"/>
      <c r="K240" s="251"/>
      <c r="L240" s="251"/>
      <c r="M240" s="251"/>
      <c r="N240" s="251"/>
      <c r="O240" s="251"/>
      <c r="P240" s="251"/>
      <c r="Q240" s="251"/>
      <c r="R240" s="251"/>
      <c r="S240" s="251"/>
      <c r="T240" s="251"/>
    </row>
    <row r="241" spans="1:20" x14ac:dyDescent="0.25">
      <c r="A241" s="251"/>
      <c r="B241" s="251"/>
      <c r="C241" s="251"/>
      <c r="D241" s="251"/>
      <c r="E241" s="251"/>
      <c r="F241" s="251"/>
      <c r="G241" s="251"/>
      <c r="H241" s="251"/>
      <c r="I241" s="251"/>
      <c r="J241" s="251"/>
      <c r="K241" s="251"/>
      <c r="L241" s="251"/>
      <c r="M241" s="251"/>
      <c r="N241" s="251"/>
      <c r="O241" s="251"/>
      <c r="P241" s="251"/>
      <c r="Q241" s="251"/>
      <c r="R241" s="251"/>
      <c r="S241" s="251"/>
      <c r="T241" s="251"/>
    </row>
    <row r="242" spans="1:20" x14ac:dyDescent="0.25">
      <c r="A242" s="251"/>
      <c r="B242" s="251"/>
      <c r="C242" s="251"/>
      <c r="D242" s="251"/>
      <c r="E242" s="251"/>
      <c r="F242" s="251"/>
      <c r="G242" s="251"/>
      <c r="H242" s="251"/>
      <c r="I242" s="251"/>
      <c r="J242" s="251"/>
      <c r="K242" s="251"/>
      <c r="L242" s="251"/>
      <c r="M242" s="251"/>
      <c r="N242" s="251"/>
      <c r="O242" s="251"/>
      <c r="P242" s="251"/>
      <c r="Q242" s="251"/>
      <c r="R242" s="251"/>
      <c r="S242" s="251"/>
      <c r="T242" s="251"/>
    </row>
    <row r="243" spans="1:20" x14ac:dyDescent="0.25">
      <c r="A243" s="251"/>
      <c r="B243" s="251"/>
      <c r="C243" s="251"/>
      <c r="D243" s="251"/>
      <c r="E243" s="251"/>
      <c r="F243" s="251"/>
      <c r="G243" s="251"/>
      <c r="H243" s="251"/>
      <c r="I243" s="251"/>
      <c r="J243" s="251"/>
      <c r="K243" s="251"/>
      <c r="L243" s="251"/>
      <c r="M243" s="251"/>
      <c r="N243" s="251"/>
      <c r="O243" s="251"/>
      <c r="P243" s="251"/>
      <c r="Q243" s="251"/>
      <c r="R243" s="251"/>
      <c r="S243" s="251"/>
      <c r="T243" s="251"/>
    </row>
    <row r="244" spans="1:20" x14ac:dyDescent="0.25">
      <c r="A244" s="251"/>
      <c r="B244" s="251"/>
      <c r="C244" s="251"/>
      <c r="D244" s="251"/>
      <c r="E244" s="251"/>
      <c r="F244" s="251"/>
      <c r="G244" s="251"/>
      <c r="H244" s="251"/>
      <c r="I244" s="251"/>
      <c r="J244" s="251"/>
      <c r="K244" s="251"/>
      <c r="L244" s="251"/>
      <c r="M244" s="251"/>
      <c r="N244" s="251"/>
      <c r="O244" s="251"/>
      <c r="P244" s="251"/>
      <c r="Q244" s="251"/>
      <c r="R244" s="251"/>
      <c r="S244" s="251"/>
      <c r="T244" s="251"/>
    </row>
    <row r="245" spans="1:20" x14ac:dyDescent="0.25">
      <c r="A245" s="251"/>
      <c r="B245" s="251"/>
      <c r="C245" s="251"/>
      <c r="D245" s="251"/>
      <c r="E245" s="251"/>
      <c r="F245" s="251"/>
      <c r="G245" s="251"/>
      <c r="H245" s="251"/>
      <c r="I245" s="251"/>
      <c r="J245" s="251"/>
      <c r="K245" s="251"/>
      <c r="L245" s="251"/>
      <c r="M245" s="251"/>
      <c r="N245" s="251"/>
      <c r="O245" s="251"/>
      <c r="P245" s="251"/>
      <c r="Q245" s="251"/>
      <c r="R245" s="251"/>
      <c r="S245" s="251"/>
      <c r="T245" s="251"/>
    </row>
    <row r="246" spans="1:20" x14ac:dyDescent="0.25">
      <c r="A246" s="251"/>
      <c r="B246" s="251"/>
      <c r="C246" s="251"/>
      <c r="D246" s="251"/>
      <c r="E246" s="251"/>
      <c r="F246" s="251"/>
      <c r="G246" s="251"/>
      <c r="H246" s="251"/>
      <c r="I246" s="251"/>
      <c r="J246" s="251"/>
      <c r="K246" s="251"/>
      <c r="L246" s="251"/>
      <c r="M246" s="251"/>
      <c r="N246" s="251"/>
      <c r="O246" s="251"/>
      <c r="P246" s="251"/>
      <c r="Q246" s="251"/>
      <c r="R246" s="251"/>
      <c r="S246" s="251"/>
      <c r="T246" s="251"/>
    </row>
    <row r="247" spans="1:20" x14ac:dyDescent="0.25">
      <c r="A247" s="251"/>
      <c r="B247" s="251"/>
      <c r="C247" s="251"/>
      <c r="D247" s="251"/>
      <c r="E247" s="251"/>
      <c r="F247" s="251"/>
      <c r="G247" s="251"/>
      <c r="H247" s="251"/>
      <c r="I247" s="251"/>
      <c r="J247" s="251"/>
      <c r="K247" s="251"/>
      <c r="L247" s="251"/>
      <c r="M247" s="251"/>
      <c r="N247" s="251"/>
      <c r="O247" s="251"/>
      <c r="P247" s="251"/>
      <c r="Q247" s="251"/>
      <c r="R247" s="251"/>
      <c r="S247" s="251"/>
      <c r="T247" s="251"/>
    </row>
    <row r="248" spans="1:20" x14ac:dyDescent="0.25">
      <c r="A248" s="251"/>
      <c r="B248" s="251"/>
      <c r="C248" s="251"/>
      <c r="D248" s="251"/>
      <c r="E248" s="251"/>
      <c r="F248" s="251"/>
      <c r="G248" s="251"/>
      <c r="H248" s="251"/>
      <c r="I248" s="251"/>
      <c r="J248" s="251"/>
      <c r="K248" s="251"/>
      <c r="L248" s="251"/>
      <c r="M248" s="251"/>
      <c r="N248" s="251"/>
      <c r="O248" s="251"/>
      <c r="P248" s="251"/>
      <c r="Q248" s="251"/>
      <c r="R248" s="251"/>
      <c r="S248" s="251"/>
      <c r="T248" s="251"/>
    </row>
    <row r="249" spans="1:20" x14ac:dyDescent="0.25">
      <c r="A249" s="251"/>
      <c r="B249" s="251"/>
      <c r="C249" s="251"/>
      <c r="D249" s="251"/>
      <c r="E249" s="251"/>
      <c r="F249" s="251"/>
      <c r="G249" s="251"/>
      <c r="H249" s="251"/>
      <c r="I249" s="251"/>
      <c r="J249" s="251"/>
      <c r="K249" s="251"/>
      <c r="L249" s="251"/>
      <c r="M249" s="251"/>
      <c r="N249" s="251"/>
      <c r="O249" s="251"/>
      <c r="P249" s="251"/>
      <c r="Q249" s="251"/>
      <c r="R249" s="251"/>
      <c r="S249" s="251"/>
      <c r="T249" s="251"/>
    </row>
    <row r="250" spans="1:20" x14ac:dyDescent="0.25">
      <c r="A250" s="251"/>
      <c r="B250" s="251"/>
      <c r="C250" s="251"/>
      <c r="D250" s="251"/>
      <c r="E250" s="251"/>
      <c r="F250" s="251"/>
      <c r="G250" s="251"/>
      <c r="H250" s="251"/>
      <c r="I250" s="251"/>
      <c r="J250" s="251"/>
      <c r="K250" s="251"/>
      <c r="L250" s="251"/>
      <c r="M250" s="251"/>
      <c r="N250" s="251"/>
      <c r="O250" s="251"/>
      <c r="P250" s="251"/>
      <c r="Q250" s="251"/>
      <c r="R250" s="251"/>
      <c r="S250" s="251"/>
      <c r="T250" s="251"/>
    </row>
    <row r="251" spans="1:20" x14ac:dyDescent="0.25">
      <c r="A251" s="251"/>
      <c r="B251" s="251"/>
      <c r="C251" s="251"/>
      <c r="D251" s="251"/>
      <c r="E251" s="251"/>
      <c r="F251" s="251"/>
      <c r="G251" s="251"/>
      <c r="H251" s="251"/>
      <c r="I251" s="251"/>
      <c r="J251" s="251"/>
      <c r="K251" s="251"/>
      <c r="L251" s="251"/>
      <c r="M251" s="251"/>
      <c r="N251" s="251"/>
      <c r="O251" s="251"/>
      <c r="P251" s="251"/>
      <c r="Q251" s="251"/>
      <c r="R251" s="251"/>
      <c r="S251" s="251"/>
      <c r="T251" s="251"/>
    </row>
    <row r="252" spans="1:20" x14ac:dyDescent="0.25">
      <c r="A252" s="251"/>
      <c r="B252" s="251"/>
      <c r="C252" s="251"/>
      <c r="D252" s="251"/>
      <c r="E252" s="251"/>
      <c r="F252" s="251"/>
      <c r="G252" s="251"/>
      <c r="H252" s="251"/>
      <c r="I252" s="251"/>
      <c r="J252" s="251"/>
      <c r="K252" s="251"/>
      <c r="L252" s="251"/>
      <c r="M252" s="251"/>
      <c r="N252" s="251"/>
      <c r="O252" s="251"/>
      <c r="P252" s="251"/>
      <c r="Q252" s="251"/>
      <c r="R252" s="251"/>
      <c r="S252" s="251"/>
      <c r="T252" s="251"/>
    </row>
    <row r="253" spans="1:20" x14ac:dyDescent="0.25">
      <c r="A253" s="251"/>
      <c r="B253" s="251"/>
      <c r="C253" s="251"/>
      <c r="D253" s="251"/>
      <c r="E253" s="251"/>
      <c r="F253" s="251"/>
      <c r="G253" s="251"/>
      <c r="H253" s="251"/>
      <c r="I253" s="251"/>
      <c r="J253" s="251"/>
      <c r="K253" s="251"/>
      <c r="L253" s="251"/>
      <c r="M253" s="251"/>
      <c r="N253" s="251"/>
      <c r="O253" s="251"/>
      <c r="P253" s="251"/>
      <c r="Q253" s="251"/>
      <c r="R253" s="251"/>
      <c r="S253" s="251"/>
      <c r="T253" s="251"/>
    </row>
    <row r="254" spans="1:20" x14ac:dyDescent="0.25">
      <c r="A254" s="251"/>
      <c r="B254" s="251"/>
      <c r="C254" s="251"/>
      <c r="D254" s="251"/>
      <c r="E254" s="251"/>
      <c r="F254" s="251"/>
      <c r="G254" s="251"/>
      <c r="H254" s="251"/>
      <c r="I254" s="251"/>
      <c r="J254" s="251"/>
      <c r="K254" s="251"/>
      <c r="L254" s="251"/>
      <c r="M254" s="251"/>
      <c r="N254" s="251"/>
      <c r="O254" s="251"/>
      <c r="P254" s="251"/>
      <c r="Q254" s="251"/>
      <c r="R254" s="251"/>
      <c r="S254" s="251"/>
      <c r="T254" s="251"/>
    </row>
    <row r="255" spans="1:20" x14ac:dyDescent="0.25">
      <c r="A255" s="251"/>
      <c r="B255" s="251"/>
      <c r="C255" s="251"/>
      <c r="D255" s="251"/>
      <c r="E255" s="251"/>
      <c r="F255" s="251"/>
      <c r="G255" s="251"/>
      <c r="H255" s="251"/>
      <c r="I255" s="251"/>
      <c r="J255" s="251"/>
      <c r="K255" s="251"/>
      <c r="L255" s="251"/>
      <c r="M255" s="251"/>
      <c r="N255" s="251"/>
      <c r="O255" s="251"/>
      <c r="P255" s="251"/>
      <c r="Q255" s="251"/>
      <c r="R255" s="251"/>
      <c r="S255" s="251"/>
      <c r="T255" s="251"/>
    </row>
    <row r="256" spans="1:20" x14ac:dyDescent="0.25">
      <c r="A256" s="251"/>
      <c r="B256" s="251"/>
      <c r="C256" s="251"/>
      <c r="D256" s="251"/>
      <c r="E256" s="251"/>
      <c r="F256" s="251"/>
      <c r="G256" s="251"/>
      <c r="H256" s="251"/>
      <c r="I256" s="251"/>
      <c r="J256" s="251"/>
      <c r="K256" s="251"/>
      <c r="L256" s="251"/>
      <c r="M256" s="251"/>
      <c r="N256" s="251"/>
      <c r="O256" s="251"/>
      <c r="P256" s="251"/>
      <c r="Q256" s="251"/>
      <c r="R256" s="251"/>
      <c r="S256" s="251"/>
      <c r="T256" s="251"/>
    </row>
    <row r="257" spans="1:20" x14ac:dyDescent="0.25">
      <c r="A257" s="251"/>
      <c r="B257" s="251"/>
      <c r="C257" s="251"/>
      <c r="D257" s="251"/>
      <c r="E257" s="251"/>
      <c r="F257" s="251"/>
      <c r="G257" s="251"/>
      <c r="H257" s="251"/>
      <c r="I257" s="251"/>
      <c r="J257" s="251"/>
      <c r="K257" s="251"/>
      <c r="L257" s="251"/>
      <c r="M257" s="251"/>
      <c r="N257" s="251"/>
      <c r="O257" s="251"/>
      <c r="P257" s="251"/>
      <c r="Q257" s="251"/>
      <c r="R257" s="251"/>
      <c r="S257" s="251"/>
      <c r="T257" s="251"/>
    </row>
    <row r="258" spans="1:20" x14ac:dyDescent="0.25">
      <c r="A258" s="251"/>
      <c r="B258" s="251"/>
      <c r="C258" s="251"/>
      <c r="D258" s="251"/>
      <c r="E258" s="251"/>
      <c r="F258" s="251"/>
      <c r="G258" s="251"/>
      <c r="H258" s="251"/>
      <c r="I258" s="251"/>
      <c r="J258" s="251"/>
      <c r="K258" s="251"/>
      <c r="L258" s="251"/>
      <c r="M258" s="251"/>
      <c r="N258" s="251"/>
      <c r="O258" s="251"/>
      <c r="P258" s="251"/>
      <c r="Q258" s="251"/>
      <c r="R258" s="251"/>
      <c r="S258" s="251"/>
      <c r="T258" s="251"/>
    </row>
    <row r="259" spans="1:20" x14ac:dyDescent="0.25">
      <c r="A259" s="251"/>
      <c r="B259" s="251"/>
      <c r="C259" s="251"/>
      <c r="D259" s="251"/>
      <c r="E259" s="251"/>
      <c r="F259" s="251"/>
      <c r="G259" s="251"/>
      <c r="H259" s="251"/>
      <c r="I259" s="251"/>
      <c r="J259" s="251"/>
      <c r="K259" s="251"/>
      <c r="L259" s="251"/>
      <c r="M259" s="251"/>
      <c r="N259" s="251"/>
      <c r="O259" s="251"/>
      <c r="P259" s="251"/>
      <c r="Q259" s="251"/>
      <c r="R259" s="251"/>
      <c r="S259" s="251"/>
      <c r="T259" s="251"/>
    </row>
    <row r="260" spans="1:20" x14ac:dyDescent="0.25">
      <c r="A260" s="251"/>
      <c r="B260" s="251"/>
      <c r="C260" s="251"/>
      <c r="D260" s="251"/>
      <c r="E260" s="251"/>
      <c r="F260" s="251"/>
      <c r="G260" s="251"/>
      <c r="H260" s="251"/>
      <c r="I260" s="251"/>
      <c r="J260" s="251"/>
      <c r="K260" s="251"/>
      <c r="L260" s="251"/>
      <c r="M260" s="251"/>
      <c r="N260" s="251"/>
      <c r="O260" s="251"/>
      <c r="P260" s="251"/>
      <c r="Q260" s="251"/>
      <c r="R260" s="251"/>
      <c r="S260" s="251"/>
      <c r="T260" s="251"/>
    </row>
    <row r="261" spans="1:20" x14ac:dyDescent="0.25">
      <c r="A261" s="251"/>
      <c r="B261" s="251"/>
      <c r="C261" s="251"/>
      <c r="D261" s="251"/>
      <c r="E261" s="251"/>
      <c r="F261" s="251"/>
      <c r="G261" s="251"/>
      <c r="H261" s="251"/>
      <c r="I261" s="251"/>
      <c r="J261" s="251"/>
      <c r="K261" s="251"/>
      <c r="L261" s="251"/>
      <c r="M261" s="251"/>
      <c r="N261" s="251"/>
      <c r="O261" s="251"/>
      <c r="P261" s="251"/>
      <c r="Q261" s="251"/>
      <c r="R261" s="251"/>
      <c r="S261" s="251"/>
      <c r="T261" s="251"/>
    </row>
    <row r="262" spans="1:20" x14ac:dyDescent="0.25">
      <c r="A262" s="251"/>
      <c r="B262" s="251"/>
      <c r="C262" s="251"/>
      <c r="D262" s="251"/>
      <c r="E262" s="251"/>
      <c r="F262" s="251"/>
      <c r="G262" s="251"/>
      <c r="H262" s="251"/>
      <c r="I262" s="251"/>
      <c r="J262" s="251"/>
      <c r="K262" s="251"/>
      <c r="L262" s="251"/>
      <c r="M262" s="251"/>
      <c r="N262" s="251"/>
      <c r="O262" s="251"/>
      <c r="P262" s="251"/>
      <c r="Q262" s="251"/>
      <c r="R262" s="251"/>
      <c r="S262" s="251"/>
      <c r="T262" s="251"/>
    </row>
    <row r="263" spans="1:20" x14ac:dyDescent="0.25">
      <c r="A263" s="251"/>
      <c r="B263" s="251"/>
      <c r="C263" s="251"/>
      <c r="D263" s="251"/>
      <c r="E263" s="251"/>
      <c r="F263" s="251"/>
      <c r="G263" s="251"/>
      <c r="H263" s="251"/>
      <c r="I263" s="251"/>
      <c r="J263" s="251"/>
      <c r="K263" s="251"/>
      <c r="L263" s="251"/>
      <c r="M263" s="251"/>
      <c r="N263" s="251"/>
      <c r="O263" s="251"/>
      <c r="P263" s="251"/>
      <c r="Q263" s="251"/>
      <c r="R263" s="251"/>
      <c r="S263" s="251"/>
      <c r="T263" s="251"/>
    </row>
    <row r="264" spans="1:20" x14ac:dyDescent="0.25">
      <c r="A264" s="251"/>
      <c r="B264" s="251"/>
      <c r="C264" s="251"/>
      <c r="D264" s="251"/>
      <c r="E264" s="251"/>
      <c r="F264" s="251"/>
      <c r="G264" s="251"/>
      <c r="H264" s="251"/>
      <c r="I264" s="251"/>
      <c r="J264" s="251"/>
      <c r="K264" s="251"/>
      <c r="L264" s="251"/>
      <c r="M264" s="251"/>
      <c r="N264" s="251"/>
      <c r="O264" s="251"/>
      <c r="P264" s="251"/>
      <c r="Q264" s="251"/>
      <c r="R264" s="251"/>
      <c r="S264" s="251"/>
      <c r="T264" s="251"/>
    </row>
    <row r="265" spans="1:20" x14ac:dyDescent="0.25">
      <c r="A265" s="251"/>
      <c r="B265" s="251"/>
      <c r="C265" s="251"/>
      <c r="D265" s="251"/>
      <c r="E265" s="251"/>
      <c r="F265" s="251"/>
      <c r="G265" s="251"/>
      <c r="H265" s="251"/>
      <c r="I265" s="251"/>
      <c r="J265" s="251"/>
      <c r="K265" s="251"/>
      <c r="L265" s="251"/>
      <c r="M265" s="251"/>
      <c r="N265" s="251"/>
      <c r="O265" s="251"/>
      <c r="P265" s="251"/>
      <c r="Q265" s="251"/>
      <c r="R265" s="251"/>
      <c r="S265" s="251"/>
      <c r="T265" s="251"/>
    </row>
    <row r="266" spans="1:20" x14ac:dyDescent="0.25">
      <c r="A266" s="251"/>
      <c r="B266" s="251"/>
      <c r="C266" s="251"/>
      <c r="D266" s="251"/>
      <c r="E266" s="251"/>
      <c r="F266" s="251"/>
      <c r="G266" s="251"/>
      <c r="H266" s="251"/>
      <c r="I266" s="251"/>
      <c r="J266" s="251"/>
      <c r="K266" s="251"/>
      <c r="L266" s="251"/>
      <c r="M266" s="251"/>
      <c r="N266" s="251"/>
      <c r="O266" s="251"/>
      <c r="P266" s="251"/>
      <c r="Q266" s="251"/>
      <c r="R266" s="251"/>
      <c r="S266" s="251"/>
      <c r="T266" s="251"/>
    </row>
    <row r="267" spans="1:20" x14ac:dyDescent="0.25">
      <c r="A267" s="251"/>
      <c r="B267" s="251"/>
      <c r="C267" s="251"/>
      <c r="D267" s="251"/>
      <c r="E267" s="251"/>
      <c r="F267" s="251"/>
      <c r="G267" s="251"/>
      <c r="H267" s="251"/>
      <c r="I267" s="251"/>
      <c r="J267" s="251"/>
      <c r="K267" s="251"/>
      <c r="L267" s="251"/>
      <c r="M267" s="251"/>
      <c r="N267" s="251"/>
      <c r="O267" s="251"/>
      <c r="P267" s="251"/>
      <c r="Q267" s="251"/>
      <c r="R267" s="251"/>
      <c r="S267" s="251"/>
      <c r="T267" s="251"/>
    </row>
    <row r="268" spans="1:20" x14ac:dyDescent="0.25">
      <c r="A268" s="251"/>
      <c r="B268" s="251"/>
      <c r="C268" s="251"/>
      <c r="D268" s="251"/>
      <c r="E268" s="251"/>
      <c r="F268" s="251"/>
      <c r="G268" s="251"/>
      <c r="H268" s="251"/>
      <c r="I268" s="251"/>
      <c r="J268" s="251"/>
      <c r="K268" s="251"/>
      <c r="L268" s="251"/>
      <c r="M268" s="251"/>
      <c r="N268" s="251"/>
      <c r="O268" s="251"/>
      <c r="P268" s="251"/>
      <c r="Q268" s="251"/>
      <c r="R268" s="251"/>
      <c r="S268" s="251"/>
      <c r="T268" s="251"/>
    </row>
    <row r="269" spans="1:20" x14ac:dyDescent="0.25">
      <c r="A269" s="251"/>
      <c r="B269" s="251"/>
      <c r="C269" s="251"/>
      <c r="D269" s="251"/>
      <c r="E269" s="251"/>
      <c r="F269" s="251"/>
      <c r="G269" s="251"/>
      <c r="H269" s="251"/>
      <c r="I269" s="251"/>
      <c r="J269" s="251"/>
      <c r="K269" s="251"/>
      <c r="L269" s="251"/>
      <c r="M269" s="251"/>
      <c r="N269" s="251"/>
      <c r="O269" s="251"/>
      <c r="P269" s="251"/>
      <c r="Q269" s="251"/>
      <c r="R269" s="251"/>
      <c r="S269" s="251"/>
      <c r="T269" s="251"/>
    </row>
    <row r="270" spans="1:20" x14ac:dyDescent="0.25">
      <c r="A270" s="251"/>
      <c r="B270" s="251"/>
      <c r="C270" s="251"/>
      <c r="D270" s="251"/>
      <c r="E270" s="251"/>
      <c r="F270" s="251"/>
      <c r="G270" s="251"/>
      <c r="H270" s="251"/>
      <c r="I270" s="251"/>
      <c r="J270" s="251"/>
      <c r="K270" s="251"/>
      <c r="L270" s="251"/>
      <c r="M270" s="251"/>
      <c r="N270" s="251"/>
      <c r="O270" s="251"/>
      <c r="P270" s="251"/>
      <c r="Q270" s="251"/>
      <c r="R270" s="251"/>
      <c r="S270" s="251"/>
      <c r="T270" s="251"/>
    </row>
    <row r="271" spans="1:20" x14ac:dyDescent="0.25">
      <c r="A271" s="251"/>
      <c r="B271" s="251"/>
      <c r="C271" s="251"/>
      <c r="D271" s="251"/>
      <c r="E271" s="251"/>
      <c r="F271" s="251"/>
      <c r="G271" s="251"/>
      <c r="H271" s="251"/>
      <c r="I271" s="251"/>
      <c r="J271" s="251"/>
      <c r="K271" s="251"/>
      <c r="L271" s="251"/>
      <c r="M271" s="251"/>
      <c r="N271" s="251"/>
      <c r="O271" s="251"/>
      <c r="P271" s="251"/>
      <c r="Q271" s="251"/>
      <c r="R271" s="251"/>
      <c r="S271" s="251"/>
      <c r="T271" s="251"/>
    </row>
    <row r="272" spans="1:20" x14ac:dyDescent="0.25">
      <c r="A272" s="251"/>
      <c r="B272" s="251"/>
      <c r="C272" s="251"/>
      <c r="D272" s="251"/>
      <c r="E272" s="251"/>
      <c r="F272" s="251"/>
      <c r="G272" s="251"/>
      <c r="H272" s="251"/>
      <c r="I272" s="251"/>
      <c r="J272" s="251"/>
      <c r="K272" s="251"/>
      <c r="L272" s="251"/>
      <c r="M272" s="251"/>
      <c r="N272" s="251"/>
      <c r="O272" s="251"/>
      <c r="P272" s="251"/>
      <c r="Q272" s="251"/>
      <c r="R272" s="251"/>
      <c r="S272" s="251"/>
      <c r="T272" s="251"/>
    </row>
    <row r="273" spans="1:20" x14ac:dyDescent="0.25">
      <c r="A273" s="251"/>
      <c r="B273" s="251"/>
      <c r="C273" s="251"/>
      <c r="D273" s="251"/>
      <c r="E273" s="251"/>
      <c r="F273" s="251"/>
      <c r="G273" s="251"/>
      <c r="H273" s="251"/>
      <c r="I273" s="251"/>
      <c r="J273" s="251"/>
      <c r="K273" s="251"/>
      <c r="L273" s="251"/>
      <c r="M273" s="251"/>
      <c r="N273" s="251"/>
      <c r="O273" s="251"/>
      <c r="P273" s="251"/>
      <c r="Q273" s="251"/>
      <c r="R273" s="251"/>
      <c r="S273" s="251"/>
      <c r="T273" s="251"/>
    </row>
    <row r="274" spans="1:20" x14ac:dyDescent="0.25">
      <c r="A274" s="251"/>
      <c r="B274" s="251"/>
      <c r="C274" s="251"/>
      <c r="D274" s="251"/>
      <c r="E274" s="251"/>
      <c r="F274" s="251"/>
      <c r="G274" s="251"/>
      <c r="H274" s="251"/>
      <c r="I274" s="251"/>
      <c r="J274" s="251"/>
      <c r="K274" s="251"/>
      <c r="L274" s="251"/>
      <c r="M274" s="251"/>
      <c r="N274" s="251"/>
      <c r="O274" s="251"/>
      <c r="P274" s="251"/>
      <c r="Q274" s="251"/>
      <c r="R274" s="251"/>
      <c r="S274" s="251"/>
      <c r="T274" s="251"/>
    </row>
    <row r="275" spans="1:20" x14ac:dyDescent="0.25">
      <c r="A275" s="251"/>
      <c r="B275" s="251"/>
      <c r="C275" s="251"/>
      <c r="D275" s="251"/>
      <c r="E275" s="251"/>
      <c r="F275" s="251"/>
      <c r="G275" s="251"/>
      <c r="H275" s="251"/>
      <c r="I275" s="251"/>
      <c r="J275" s="251"/>
      <c r="K275" s="251"/>
      <c r="L275" s="251"/>
      <c r="M275" s="251"/>
      <c r="N275" s="251"/>
      <c r="O275" s="251"/>
      <c r="P275" s="251"/>
      <c r="Q275" s="251"/>
      <c r="R275" s="251"/>
      <c r="S275" s="251"/>
      <c r="T275" s="251"/>
    </row>
    <row r="276" spans="1:20" x14ac:dyDescent="0.25">
      <c r="A276" s="251"/>
      <c r="B276" s="251"/>
      <c r="C276" s="251"/>
      <c r="D276" s="251"/>
      <c r="E276" s="251"/>
      <c r="F276" s="251"/>
      <c r="G276" s="251"/>
      <c r="H276" s="251"/>
      <c r="I276" s="251"/>
      <c r="J276" s="251"/>
      <c r="K276" s="251"/>
      <c r="L276" s="251"/>
      <c r="M276" s="251"/>
      <c r="N276" s="251"/>
      <c r="O276" s="251"/>
      <c r="P276" s="251"/>
      <c r="Q276" s="251"/>
      <c r="R276" s="251"/>
      <c r="S276" s="251"/>
      <c r="T276" s="251"/>
    </row>
    <row r="277" spans="1:20" x14ac:dyDescent="0.25">
      <c r="A277" s="251"/>
      <c r="B277" s="251"/>
      <c r="C277" s="251"/>
      <c r="D277" s="251"/>
      <c r="E277" s="251"/>
      <c r="F277" s="251"/>
      <c r="G277" s="251"/>
      <c r="H277" s="251"/>
      <c r="I277" s="251"/>
      <c r="J277" s="251"/>
      <c r="K277" s="251"/>
      <c r="L277" s="251"/>
      <c r="M277" s="251"/>
      <c r="N277" s="251"/>
      <c r="O277" s="251"/>
      <c r="P277" s="251"/>
      <c r="Q277" s="251"/>
      <c r="R277" s="251"/>
      <c r="S277" s="251"/>
      <c r="T277" s="251"/>
    </row>
    <row r="278" spans="1:20" x14ac:dyDescent="0.25">
      <c r="A278" s="251"/>
      <c r="B278" s="251"/>
      <c r="C278" s="251"/>
      <c r="D278" s="251"/>
      <c r="E278" s="251"/>
      <c r="F278" s="251"/>
      <c r="G278" s="251"/>
      <c r="H278" s="251"/>
      <c r="I278" s="251"/>
      <c r="J278" s="251"/>
      <c r="K278" s="251"/>
      <c r="L278" s="251"/>
      <c r="M278" s="251"/>
      <c r="N278" s="251"/>
      <c r="O278" s="251"/>
      <c r="P278" s="251"/>
      <c r="Q278" s="251"/>
      <c r="R278" s="251"/>
      <c r="S278" s="251"/>
      <c r="T278" s="251"/>
    </row>
    <row r="279" spans="1:20" x14ac:dyDescent="0.25">
      <c r="A279" s="251"/>
      <c r="B279" s="251"/>
      <c r="C279" s="251"/>
      <c r="D279" s="251"/>
      <c r="E279" s="251"/>
      <c r="F279" s="251"/>
      <c r="G279" s="251"/>
      <c r="H279" s="251"/>
      <c r="I279" s="251"/>
      <c r="J279" s="251"/>
      <c r="K279" s="251"/>
      <c r="L279" s="251"/>
      <c r="M279" s="251"/>
      <c r="N279" s="251"/>
      <c r="O279" s="251"/>
      <c r="P279" s="251"/>
      <c r="Q279" s="251"/>
      <c r="R279" s="251"/>
      <c r="S279" s="251"/>
      <c r="T279" s="251"/>
    </row>
    <row r="280" spans="1:20" x14ac:dyDescent="0.25">
      <c r="A280" s="251"/>
      <c r="B280" s="251"/>
      <c r="C280" s="251"/>
      <c r="D280" s="251"/>
      <c r="E280" s="251"/>
      <c r="F280" s="251"/>
      <c r="G280" s="251"/>
      <c r="H280" s="251"/>
      <c r="I280" s="251"/>
      <c r="J280" s="251"/>
      <c r="K280" s="251"/>
      <c r="L280" s="251"/>
      <c r="M280" s="251"/>
      <c r="N280" s="251"/>
      <c r="O280" s="251"/>
      <c r="P280" s="251"/>
      <c r="Q280" s="251"/>
      <c r="R280" s="251"/>
      <c r="S280" s="251"/>
      <c r="T280" s="251"/>
    </row>
    <row r="281" spans="1:20" x14ac:dyDescent="0.25">
      <c r="A281" s="251"/>
      <c r="B281" s="251"/>
      <c r="C281" s="251"/>
      <c r="D281" s="251"/>
      <c r="E281" s="251"/>
      <c r="F281" s="251"/>
      <c r="G281" s="251"/>
      <c r="H281" s="251"/>
      <c r="I281" s="251"/>
      <c r="J281" s="251"/>
      <c r="K281" s="251"/>
      <c r="L281" s="251"/>
      <c r="M281" s="251"/>
      <c r="N281" s="251"/>
      <c r="O281" s="251"/>
      <c r="P281" s="251"/>
      <c r="Q281" s="251"/>
      <c r="R281" s="251"/>
      <c r="S281" s="251"/>
      <c r="T281" s="251"/>
    </row>
    <row r="282" spans="1:20" x14ac:dyDescent="0.25">
      <c r="A282" s="251"/>
      <c r="B282" s="251"/>
      <c r="C282" s="251"/>
      <c r="D282" s="251"/>
      <c r="E282" s="251"/>
      <c r="F282" s="251"/>
      <c r="G282" s="251"/>
      <c r="H282" s="251"/>
      <c r="I282" s="251"/>
      <c r="J282" s="251"/>
      <c r="K282" s="251"/>
      <c r="L282" s="251"/>
      <c r="M282" s="251"/>
      <c r="N282" s="251"/>
      <c r="O282" s="251"/>
      <c r="P282" s="251"/>
      <c r="Q282" s="251"/>
      <c r="R282" s="251"/>
      <c r="S282" s="251"/>
      <c r="T282" s="251"/>
    </row>
    <row r="283" spans="1:20" x14ac:dyDescent="0.25">
      <c r="A283" s="251"/>
      <c r="B283" s="251"/>
      <c r="C283" s="251"/>
      <c r="D283" s="251"/>
      <c r="E283" s="251"/>
      <c r="F283" s="251"/>
      <c r="G283" s="251"/>
      <c r="H283" s="251"/>
      <c r="I283" s="251"/>
      <c r="J283" s="251"/>
      <c r="K283" s="251"/>
      <c r="L283" s="251"/>
      <c r="M283" s="251"/>
      <c r="N283" s="251"/>
      <c r="O283" s="251"/>
      <c r="P283" s="251"/>
      <c r="Q283" s="251"/>
      <c r="R283" s="251"/>
      <c r="S283" s="251"/>
      <c r="T283" s="251"/>
    </row>
    <row r="284" spans="1:20" x14ac:dyDescent="0.25">
      <c r="A284" s="251"/>
      <c r="B284" s="251"/>
      <c r="C284" s="251"/>
      <c r="D284" s="251"/>
      <c r="E284" s="251"/>
      <c r="F284" s="251"/>
      <c r="G284" s="251"/>
      <c r="H284" s="251"/>
      <c r="I284" s="251"/>
      <c r="J284" s="251"/>
      <c r="K284" s="251"/>
      <c r="L284" s="251"/>
      <c r="M284" s="251"/>
      <c r="N284" s="251"/>
      <c r="O284" s="251"/>
      <c r="P284" s="251"/>
      <c r="Q284" s="251"/>
      <c r="R284" s="251"/>
      <c r="S284" s="251"/>
      <c r="T284" s="251"/>
    </row>
    <row r="285" spans="1:20" x14ac:dyDescent="0.25">
      <c r="A285" s="251"/>
      <c r="B285" s="251"/>
      <c r="C285" s="251"/>
      <c r="D285" s="251"/>
      <c r="E285" s="251"/>
      <c r="F285" s="251"/>
      <c r="G285" s="251"/>
      <c r="H285" s="251"/>
      <c r="I285" s="251"/>
      <c r="J285" s="251"/>
      <c r="K285" s="251"/>
      <c r="L285" s="251"/>
      <c r="M285" s="251"/>
      <c r="N285" s="251"/>
      <c r="O285" s="251"/>
      <c r="P285" s="251"/>
      <c r="Q285" s="251"/>
      <c r="R285" s="251"/>
      <c r="S285" s="251"/>
      <c r="T285" s="251"/>
    </row>
    <row r="286" spans="1:20" x14ac:dyDescent="0.25">
      <c r="A286" s="251"/>
      <c r="B286" s="251"/>
      <c r="C286" s="251"/>
      <c r="D286" s="251"/>
      <c r="E286" s="251"/>
      <c r="F286" s="251"/>
      <c r="G286" s="251"/>
      <c r="H286" s="251"/>
      <c r="I286" s="251"/>
      <c r="J286" s="251"/>
      <c r="K286" s="251"/>
      <c r="L286" s="251"/>
      <c r="M286" s="251"/>
      <c r="N286" s="251"/>
      <c r="O286" s="251"/>
      <c r="P286" s="251"/>
      <c r="Q286" s="251"/>
      <c r="R286" s="251"/>
      <c r="S286" s="251"/>
      <c r="T286" s="251"/>
    </row>
    <row r="287" spans="1:20" x14ac:dyDescent="0.25">
      <c r="A287" s="251"/>
      <c r="B287" s="251"/>
      <c r="C287" s="251"/>
      <c r="D287" s="251"/>
      <c r="E287" s="251"/>
      <c r="F287" s="251"/>
      <c r="G287" s="251"/>
      <c r="H287" s="251"/>
      <c r="I287" s="251"/>
      <c r="J287" s="251"/>
      <c r="K287" s="251"/>
      <c r="L287" s="251"/>
      <c r="M287" s="251"/>
      <c r="N287" s="251"/>
      <c r="O287" s="251"/>
      <c r="P287" s="251"/>
      <c r="Q287" s="251"/>
      <c r="R287" s="251"/>
      <c r="S287" s="251"/>
      <c r="T287" s="251"/>
    </row>
    <row r="288" spans="1:20" x14ac:dyDescent="0.25">
      <c r="A288" s="251"/>
      <c r="B288" s="251"/>
      <c r="C288" s="251"/>
      <c r="D288" s="251"/>
      <c r="E288" s="251"/>
      <c r="F288" s="251"/>
      <c r="G288" s="251"/>
      <c r="H288" s="251"/>
      <c r="I288" s="251"/>
      <c r="J288" s="251"/>
      <c r="K288" s="251"/>
      <c r="L288" s="251"/>
      <c r="M288" s="251"/>
      <c r="N288" s="251"/>
      <c r="O288" s="251"/>
      <c r="P288" s="251"/>
      <c r="Q288" s="251"/>
      <c r="R288" s="251"/>
      <c r="S288" s="251"/>
      <c r="T288" s="251"/>
    </row>
    <row r="289" spans="1:20" x14ac:dyDescent="0.25">
      <c r="A289" s="251"/>
      <c r="B289" s="251"/>
      <c r="C289" s="251"/>
      <c r="D289" s="251"/>
      <c r="E289" s="251"/>
      <c r="F289" s="251"/>
      <c r="G289" s="251"/>
      <c r="H289" s="251"/>
      <c r="I289" s="251"/>
      <c r="J289" s="251"/>
      <c r="K289" s="251"/>
      <c r="L289" s="251"/>
      <c r="M289" s="251"/>
      <c r="N289" s="251"/>
      <c r="O289" s="251"/>
      <c r="P289" s="251"/>
      <c r="Q289" s="251"/>
      <c r="R289" s="251"/>
      <c r="S289" s="251"/>
      <c r="T289" s="251"/>
    </row>
    <row r="290" spans="1:20" x14ac:dyDescent="0.25">
      <c r="A290" s="251"/>
      <c r="B290" s="251"/>
      <c r="C290" s="251"/>
      <c r="D290" s="251"/>
      <c r="E290" s="251"/>
      <c r="F290" s="251"/>
      <c r="G290" s="251"/>
      <c r="H290" s="251"/>
      <c r="I290" s="251"/>
      <c r="J290" s="251"/>
      <c r="K290" s="251"/>
      <c r="L290" s="251"/>
      <c r="M290" s="251"/>
      <c r="N290" s="251"/>
      <c r="O290" s="251"/>
      <c r="P290" s="251"/>
      <c r="Q290" s="251"/>
      <c r="R290" s="251"/>
      <c r="S290" s="251"/>
      <c r="T290" s="251"/>
    </row>
    <row r="291" spans="1:20" x14ac:dyDescent="0.25">
      <c r="A291" s="251"/>
      <c r="B291" s="251"/>
      <c r="C291" s="251"/>
      <c r="D291" s="251"/>
      <c r="E291" s="251"/>
      <c r="F291" s="251"/>
      <c r="G291" s="251"/>
      <c r="H291" s="251"/>
      <c r="I291" s="251"/>
      <c r="J291" s="251"/>
      <c r="K291" s="251"/>
      <c r="L291" s="251"/>
      <c r="M291" s="251"/>
      <c r="N291" s="251"/>
      <c r="O291" s="251"/>
      <c r="P291" s="251"/>
      <c r="Q291" s="251"/>
      <c r="R291" s="251"/>
      <c r="S291" s="251"/>
      <c r="T291" s="251"/>
    </row>
    <row r="292" spans="1:20" x14ac:dyDescent="0.25">
      <c r="A292" s="251"/>
      <c r="B292" s="251"/>
      <c r="C292" s="251"/>
      <c r="D292" s="251"/>
      <c r="E292" s="251"/>
      <c r="F292" s="251"/>
      <c r="G292" s="251"/>
      <c r="H292" s="251"/>
      <c r="I292" s="251"/>
      <c r="J292" s="251"/>
      <c r="K292" s="251"/>
      <c r="L292" s="251"/>
      <c r="M292" s="251"/>
      <c r="N292" s="251"/>
      <c r="O292" s="251"/>
      <c r="P292" s="251"/>
      <c r="Q292" s="251"/>
      <c r="R292" s="251"/>
      <c r="S292" s="251"/>
      <c r="T292" s="251"/>
    </row>
    <row r="293" spans="1:20" x14ac:dyDescent="0.25">
      <c r="A293" s="251"/>
      <c r="B293" s="251"/>
      <c r="C293" s="251"/>
      <c r="D293" s="251"/>
      <c r="E293" s="251"/>
      <c r="F293" s="251"/>
      <c r="G293" s="251"/>
      <c r="H293" s="251"/>
      <c r="I293" s="251"/>
      <c r="J293" s="251"/>
      <c r="K293" s="251"/>
      <c r="L293" s="251"/>
      <c r="M293" s="251"/>
      <c r="N293" s="251"/>
      <c r="O293" s="251"/>
      <c r="P293" s="251"/>
      <c r="Q293" s="251"/>
      <c r="R293" s="251"/>
      <c r="S293" s="251"/>
      <c r="T293" s="251"/>
    </row>
    <row r="294" spans="1:20" x14ac:dyDescent="0.25">
      <c r="A294" s="251"/>
      <c r="B294" s="251"/>
      <c r="C294" s="251"/>
      <c r="D294" s="251"/>
      <c r="E294" s="251"/>
      <c r="F294" s="251"/>
      <c r="G294" s="251"/>
      <c r="H294" s="251"/>
      <c r="I294" s="251"/>
      <c r="J294" s="251"/>
      <c r="K294" s="251"/>
      <c r="L294" s="251"/>
      <c r="M294" s="251"/>
      <c r="N294" s="251"/>
      <c r="O294" s="251"/>
      <c r="P294" s="251"/>
      <c r="Q294" s="251"/>
      <c r="R294" s="251"/>
      <c r="S294" s="251"/>
      <c r="T294" s="251"/>
    </row>
    <row r="295" spans="1:20" x14ac:dyDescent="0.25">
      <c r="A295" s="251"/>
      <c r="B295" s="251"/>
      <c r="C295" s="251"/>
      <c r="D295" s="251"/>
      <c r="E295" s="251"/>
      <c r="F295" s="251"/>
      <c r="G295" s="251"/>
      <c r="H295" s="251"/>
      <c r="I295" s="251"/>
      <c r="J295" s="251"/>
      <c r="K295" s="251"/>
      <c r="L295" s="251"/>
      <c r="M295" s="251"/>
      <c r="N295" s="251"/>
      <c r="O295" s="251"/>
      <c r="P295" s="251"/>
      <c r="Q295" s="251"/>
      <c r="R295" s="251"/>
      <c r="S295" s="251"/>
      <c r="T295" s="251"/>
    </row>
    <row r="296" spans="1:20" x14ac:dyDescent="0.25">
      <c r="A296" s="251"/>
      <c r="B296" s="251"/>
      <c r="C296" s="251"/>
      <c r="D296" s="251"/>
      <c r="E296" s="251"/>
      <c r="F296" s="251"/>
      <c r="G296" s="251"/>
      <c r="H296" s="251"/>
      <c r="I296" s="251"/>
      <c r="J296" s="251"/>
      <c r="K296" s="251"/>
      <c r="L296" s="251"/>
      <c r="M296" s="251"/>
      <c r="N296" s="251"/>
      <c r="O296" s="251"/>
      <c r="P296" s="251"/>
      <c r="Q296" s="251"/>
      <c r="R296" s="251"/>
      <c r="S296" s="251"/>
      <c r="T296" s="251"/>
    </row>
    <row r="297" spans="1:20" x14ac:dyDescent="0.25">
      <c r="A297" s="251"/>
      <c r="B297" s="251"/>
      <c r="C297" s="251"/>
      <c r="D297" s="251"/>
      <c r="E297" s="251"/>
      <c r="F297" s="251"/>
      <c r="G297" s="251"/>
      <c r="H297" s="251"/>
      <c r="I297" s="251"/>
      <c r="J297" s="251"/>
      <c r="K297" s="251"/>
      <c r="L297" s="251"/>
      <c r="M297" s="251"/>
      <c r="N297" s="251"/>
      <c r="O297" s="251"/>
      <c r="P297" s="251"/>
      <c r="Q297" s="251"/>
      <c r="R297" s="251"/>
      <c r="S297" s="251"/>
      <c r="T297" s="251"/>
    </row>
    <row r="298" spans="1:20" x14ac:dyDescent="0.25">
      <c r="A298" s="251"/>
      <c r="B298" s="251"/>
      <c r="C298" s="251"/>
      <c r="D298" s="251"/>
      <c r="E298" s="251"/>
      <c r="F298" s="251"/>
      <c r="G298" s="251"/>
      <c r="H298" s="251"/>
      <c r="I298" s="251"/>
      <c r="J298" s="251"/>
      <c r="K298" s="251"/>
      <c r="L298" s="251"/>
      <c r="M298" s="251"/>
      <c r="N298" s="251"/>
      <c r="O298" s="251"/>
      <c r="P298" s="251"/>
      <c r="Q298" s="251"/>
      <c r="R298" s="251"/>
      <c r="S298" s="251"/>
      <c r="T298" s="251"/>
    </row>
    <row r="299" spans="1:20" x14ac:dyDescent="0.25">
      <c r="A299" s="251"/>
      <c r="B299" s="251"/>
      <c r="C299" s="251"/>
      <c r="D299" s="251"/>
      <c r="E299" s="251"/>
      <c r="F299" s="251"/>
      <c r="G299" s="251"/>
      <c r="H299" s="251"/>
      <c r="I299" s="251"/>
      <c r="J299" s="251"/>
      <c r="K299" s="251"/>
      <c r="L299" s="251"/>
      <c r="M299" s="251"/>
      <c r="N299" s="251"/>
      <c r="O299" s="251"/>
      <c r="P299" s="251"/>
      <c r="Q299" s="251"/>
      <c r="R299" s="251"/>
      <c r="S299" s="251"/>
      <c r="T299" s="251"/>
    </row>
    <row r="300" spans="1:20" x14ac:dyDescent="0.25">
      <c r="A300" s="251"/>
      <c r="B300" s="251"/>
      <c r="C300" s="251"/>
      <c r="D300" s="251"/>
      <c r="E300" s="251"/>
      <c r="F300" s="251"/>
      <c r="G300" s="251"/>
      <c r="H300" s="251"/>
      <c r="I300" s="251"/>
      <c r="J300" s="251"/>
      <c r="K300" s="251"/>
      <c r="L300" s="251"/>
      <c r="M300" s="251"/>
      <c r="N300" s="251"/>
      <c r="O300" s="251"/>
      <c r="P300" s="251"/>
      <c r="Q300" s="251"/>
      <c r="R300" s="251"/>
      <c r="S300" s="251"/>
      <c r="T300" s="251"/>
    </row>
    <row r="301" spans="1:20" x14ac:dyDescent="0.25">
      <c r="A301" s="251"/>
      <c r="B301" s="251"/>
      <c r="C301" s="251"/>
      <c r="D301" s="251"/>
      <c r="E301" s="251"/>
      <c r="F301" s="251"/>
      <c r="G301" s="251"/>
      <c r="H301" s="251"/>
      <c r="I301" s="251"/>
      <c r="J301" s="251"/>
      <c r="K301" s="251"/>
      <c r="L301" s="251"/>
      <c r="M301" s="251"/>
      <c r="N301" s="251"/>
      <c r="O301" s="251"/>
      <c r="P301" s="251"/>
      <c r="Q301" s="251"/>
      <c r="R301" s="251"/>
      <c r="S301" s="251"/>
      <c r="T301" s="251"/>
    </row>
    <row r="302" spans="1:20" x14ac:dyDescent="0.25">
      <c r="A302" s="251"/>
      <c r="B302" s="251"/>
      <c r="C302" s="251"/>
      <c r="D302" s="251"/>
      <c r="E302" s="251"/>
      <c r="F302" s="251"/>
      <c r="G302" s="251"/>
      <c r="H302" s="251"/>
      <c r="I302" s="251"/>
      <c r="J302" s="251"/>
      <c r="K302" s="251"/>
      <c r="L302" s="251"/>
      <c r="M302" s="251"/>
      <c r="N302" s="251"/>
      <c r="O302" s="251"/>
      <c r="P302" s="251"/>
      <c r="Q302" s="251"/>
      <c r="R302" s="251"/>
      <c r="S302" s="251"/>
      <c r="T302" s="251"/>
    </row>
    <row r="303" spans="1:20" x14ac:dyDescent="0.25">
      <c r="A303" s="251"/>
      <c r="B303" s="251"/>
      <c r="C303" s="251"/>
      <c r="D303" s="251"/>
      <c r="E303" s="251"/>
      <c r="F303" s="251"/>
      <c r="G303" s="251"/>
      <c r="H303" s="251"/>
      <c r="I303" s="251"/>
      <c r="J303" s="251"/>
      <c r="K303" s="251"/>
      <c r="L303" s="251"/>
      <c r="M303" s="251"/>
      <c r="N303" s="251"/>
      <c r="O303" s="251"/>
      <c r="P303" s="251"/>
      <c r="Q303" s="251"/>
      <c r="R303" s="251"/>
      <c r="S303" s="251"/>
      <c r="T303" s="251"/>
    </row>
    <row r="304" spans="1:20" x14ac:dyDescent="0.25">
      <c r="A304" s="251"/>
      <c r="B304" s="251"/>
      <c r="C304" s="251"/>
      <c r="D304" s="251"/>
      <c r="E304" s="251"/>
      <c r="F304" s="251"/>
      <c r="G304" s="251"/>
      <c r="H304" s="251"/>
      <c r="I304" s="251"/>
      <c r="J304" s="251"/>
      <c r="K304" s="251"/>
      <c r="L304" s="251"/>
      <c r="M304" s="251"/>
      <c r="N304" s="251"/>
      <c r="O304" s="251"/>
      <c r="P304" s="251"/>
      <c r="Q304" s="251"/>
      <c r="R304" s="251"/>
      <c r="S304" s="251"/>
      <c r="T304" s="251"/>
    </row>
    <row r="305" spans="1:20" x14ac:dyDescent="0.25">
      <c r="A305" s="251"/>
      <c r="B305" s="251"/>
      <c r="C305" s="251"/>
      <c r="D305" s="251"/>
      <c r="E305" s="251"/>
      <c r="F305" s="251"/>
      <c r="G305" s="251"/>
      <c r="H305" s="251"/>
      <c r="I305" s="251"/>
      <c r="J305" s="251"/>
      <c r="K305" s="251"/>
      <c r="L305" s="251"/>
      <c r="M305" s="251"/>
      <c r="N305" s="251"/>
      <c r="O305" s="251"/>
      <c r="P305" s="251"/>
      <c r="Q305" s="251"/>
      <c r="R305" s="251"/>
      <c r="S305" s="251"/>
      <c r="T305" s="251"/>
    </row>
    <row r="306" spans="1:20" x14ac:dyDescent="0.25">
      <c r="A306" s="251"/>
      <c r="B306" s="251"/>
      <c r="C306" s="251"/>
      <c r="D306" s="251"/>
      <c r="E306" s="251"/>
      <c r="F306" s="251"/>
      <c r="G306" s="251"/>
      <c r="H306" s="251"/>
      <c r="I306" s="251"/>
      <c r="J306" s="251"/>
      <c r="K306" s="251"/>
      <c r="L306" s="251"/>
      <c r="M306" s="251"/>
      <c r="N306" s="251"/>
      <c r="O306" s="251"/>
      <c r="P306" s="251"/>
      <c r="Q306" s="251"/>
      <c r="R306" s="251"/>
      <c r="S306" s="251"/>
      <c r="T306" s="251"/>
    </row>
    <row r="307" spans="1:20" x14ac:dyDescent="0.25">
      <c r="A307" s="251"/>
      <c r="B307" s="251"/>
      <c r="C307" s="251"/>
      <c r="D307" s="251"/>
      <c r="E307" s="251"/>
      <c r="F307" s="251"/>
      <c r="G307" s="251"/>
      <c r="H307" s="251"/>
      <c r="I307" s="251"/>
      <c r="J307" s="251"/>
      <c r="K307" s="251"/>
      <c r="L307" s="251"/>
      <c r="M307" s="251"/>
      <c r="N307" s="251"/>
      <c r="O307" s="251"/>
      <c r="P307" s="251"/>
      <c r="Q307" s="251"/>
      <c r="R307" s="251"/>
      <c r="S307" s="251"/>
      <c r="T307" s="251"/>
    </row>
    <row r="308" spans="1:20" x14ac:dyDescent="0.25">
      <c r="A308" s="251"/>
      <c r="B308" s="251"/>
      <c r="C308" s="251"/>
      <c r="D308" s="251"/>
      <c r="E308" s="251"/>
      <c r="F308" s="251"/>
      <c r="G308" s="251"/>
      <c r="H308" s="251"/>
      <c r="I308" s="251"/>
      <c r="J308" s="251"/>
      <c r="K308" s="251"/>
      <c r="L308" s="251"/>
      <c r="M308" s="251"/>
      <c r="N308" s="251"/>
      <c r="O308" s="251"/>
      <c r="P308" s="251"/>
      <c r="Q308" s="251"/>
      <c r="R308" s="251"/>
      <c r="S308" s="251"/>
      <c r="T308" s="251"/>
    </row>
    <row r="309" spans="1:20" x14ac:dyDescent="0.25">
      <c r="A309" s="251"/>
      <c r="B309" s="251"/>
      <c r="C309" s="251"/>
      <c r="D309" s="251"/>
      <c r="E309" s="251"/>
      <c r="F309" s="251"/>
      <c r="G309" s="251"/>
      <c r="H309" s="251"/>
      <c r="I309" s="251"/>
      <c r="J309" s="251"/>
      <c r="K309" s="251"/>
      <c r="L309" s="251"/>
      <c r="M309" s="251"/>
      <c r="N309" s="251"/>
      <c r="O309" s="251"/>
      <c r="P309" s="251"/>
      <c r="Q309" s="251"/>
      <c r="R309" s="251"/>
      <c r="S309" s="251"/>
      <c r="T309" s="251"/>
    </row>
    <row r="310" spans="1:20" x14ac:dyDescent="0.25">
      <c r="A310" s="251"/>
      <c r="B310" s="251"/>
      <c r="C310" s="251"/>
      <c r="D310" s="251"/>
      <c r="E310" s="251"/>
      <c r="F310" s="251"/>
      <c r="G310" s="251"/>
      <c r="H310" s="251"/>
      <c r="I310" s="251"/>
      <c r="J310" s="251"/>
      <c r="K310" s="251"/>
      <c r="L310" s="251"/>
      <c r="M310" s="251"/>
      <c r="N310" s="251"/>
      <c r="O310" s="251"/>
      <c r="P310" s="251"/>
      <c r="Q310" s="251"/>
      <c r="R310" s="251"/>
      <c r="S310" s="251"/>
      <c r="T310" s="251"/>
    </row>
    <row r="311" spans="1:20" x14ac:dyDescent="0.25">
      <c r="A311" s="251"/>
      <c r="B311" s="251"/>
      <c r="C311" s="251"/>
      <c r="D311" s="251"/>
      <c r="E311" s="251"/>
      <c r="F311" s="251"/>
      <c r="G311" s="251"/>
      <c r="H311" s="251"/>
      <c r="I311" s="251"/>
      <c r="J311" s="251"/>
      <c r="K311" s="251"/>
      <c r="L311" s="251"/>
      <c r="M311" s="251"/>
      <c r="N311" s="251"/>
      <c r="O311" s="251"/>
      <c r="P311" s="251"/>
      <c r="Q311" s="251"/>
      <c r="R311" s="251"/>
      <c r="S311" s="251"/>
      <c r="T311" s="251"/>
    </row>
    <row r="312" spans="1:20" x14ac:dyDescent="0.25">
      <c r="A312" s="251"/>
      <c r="B312" s="251"/>
      <c r="C312" s="251"/>
      <c r="D312" s="251"/>
      <c r="E312" s="251"/>
      <c r="F312" s="251"/>
      <c r="G312" s="251"/>
      <c r="H312" s="251"/>
      <c r="I312" s="251"/>
      <c r="J312" s="251"/>
      <c r="K312" s="251"/>
      <c r="L312" s="251"/>
      <c r="M312" s="251"/>
      <c r="N312" s="251"/>
      <c r="O312" s="251"/>
      <c r="P312" s="251"/>
      <c r="Q312" s="251"/>
      <c r="R312" s="251"/>
      <c r="S312" s="251"/>
      <c r="T312" s="251"/>
    </row>
    <row r="313" spans="1:20" x14ac:dyDescent="0.25">
      <c r="A313" s="251"/>
      <c r="B313" s="251"/>
      <c r="C313" s="251"/>
      <c r="D313" s="251"/>
      <c r="E313" s="251"/>
      <c r="F313" s="251"/>
      <c r="G313" s="251"/>
      <c r="H313" s="251"/>
      <c r="I313" s="251"/>
      <c r="J313" s="251"/>
      <c r="K313" s="251"/>
      <c r="L313" s="251"/>
      <c r="M313" s="251"/>
      <c r="N313" s="251"/>
      <c r="O313" s="251"/>
      <c r="P313" s="251"/>
      <c r="Q313" s="251"/>
      <c r="R313" s="251"/>
      <c r="S313" s="251"/>
      <c r="T313" s="251"/>
    </row>
    <row r="314" spans="1:20" x14ac:dyDescent="0.25">
      <c r="A314" s="251"/>
      <c r="B314" s="251"/>
      <c r="C314" s="251"/>
      <c r="D314" s="251"/>
      <c r="E314" s="251"/>
      <c r="F314" s="251"/>
      <c r="G314" s="251"/>
      <c r="H314" s="251"/>
      <c r="I314" s="251"/>
      <c r="J314" s="251"/>
      <c r="K314" s="251"/>
      <c r="L314" s="251"/>
      <c r="M314" s="251"/>
      <c r="N314" s="251"/>
      <c r="O314" s="251"/>
      <c r="P314" s="251"/>
      <c r="Q314" s="251"/>
      <c r="R314" s="251"/>
      <c r="S314" s="251"/>
      <c r="T314" s="251"/>
    </row>
    <row r="315" spans="1:20" x14ac:dyDescent="0.25">
      <c r="A315" s="251"/>
      <c r="B315" s="251"/>
      <c r="C315" s="251"/>
      <c r="D315" s="251"/>
      <c r="E315" s="251"/>
      <c r="F315" s="251"/>
      <c r="G315" s="251"/>
      <c r="H315" s="251"/>
      <c r="I315" s="251"/>
      <c r="J315" s="251"/>
      <c r="K315" s="251"/>
      <c r="L315" s="251"/>
      <c r="M315" s="251"/>
      <c r="N315" s="251"/>
      <c r="O315" s="251"/>
      <c r="P315" s="251"/>
      <c r="Q315" s="251"/>
      <c r="R315" s="251"/>
      <c r="S315" s="251"/>
      <c r="T315" s="251"/>
    </row>
    <row r="316" spans="1:20" x14ac:dyDescent="0.25">
      <c r="A316" s="251"/>
      <c r="B316" s="251"/>
      <c r="C316" s="251"/>
      <c r="D316" s="251"/>
      <c r="E316" s="251"/>
      <c r="F316" s="251"/>
      <c r="G316" s="251"/>
      <c r="H316" s="251"/>
      <c r="I316" s="251"/>
      <c r="J316" s="251"/>
      <c r="K316" s="251"/>
      <c r="L316" s="251"/>
      <c r="M316" s="251"/>
      <c r="N316" s="251"/>
      <c r="O316" s="251"/>
      <c r="P316" s="251"/>
      <c r="Q316" s="251"/>
      <c r="R316" s="251"/>
      <c r="S316" s="251"/>
      <c r="T316" s="251"/>
    </row>
    <row r="317" spans="1:20" x14ac:dyDescent="0.25">
      <c r="A317" s="251"/>
      <c r="B317" s="251"/>
      <c r="C317" s="251"/>
      <c r="D317" s="251"/>
      <c r="E317" s="251"/>
      <c r="F317" s="251"/>
      <c r="G317" s="251"/>
      <c r="H317" s="251"/>
      <c r="I317" s="251"/>
      <c r="J317" s="251"/>
      <c r="K317" s="251"/>
      <c r="L317" s="251"/>
      <c r="M317" s="251"/>
      <c r="N317" s="251"/>
      <c r="O317" s="251"/>
      <c r="P317" s="251"/>
      <c r="Q317" s="251"/>
      <c r="R317" s="251"/>
      <c r="S317" s="251"/>
      <c r="T317" s="251"/>
    </row>
    <row r="318" spans="1:20" x14ac:dyDescent="0.25">
      <c r="A318" s="251"/>
      <c r="B318" s="251"/>
      <c r="C318" s="251"/>
      <c r="D318" s="251"/>
      <c r="E318" s="251"/>
      <c r="F318" s="251"/>
      <c r="G318" s="251"/>
      <c r="H318" s="251"/>
      <c r="I318" s="251"/>
      <c r="J318" s="251"/>
      <c r="K318" s="251"/>
      <c r="L318" s="251"/>
      <c r="M318" s="251"/>
      <c r="N318" s="251"/>
      <c r="O318" s="251"/>
      <c r="P318" s="251"/>
      <c r="Q318" s="251"/>
      <c r="R318" s="251"/>
      <c r="S318" s="251"/>
      <c r="T318" s="251"/>
    </row>
    <row r="319" spans="1:20" x14ac:dyDescent="0.25">
      <c r="A319" s="251"/>
      <c r="B319" s="251"/>
      <c r="C319" s="251"/>
      <c r="D319" s="251"/>
      <c r="E319" s="251"/>
      <c r="F319" s="251"/>
      <c r="G319" s="251"/>
      <c r="H319" s="251"/>
      <c r="I319" s="251"/>
      <c r="J319" s="251"/>
      <c r="K319" s="251"/>
      <c r="L319" s="251"/>
      <c r="M319" s="251"/>
      <c r="N319" s="251"/>
      <c r="O319" s="251"/>
      <c r="P319" s="251"/>
      <c r="Q319" s="251"/>
      <c r="R319" s="251"/>
      <c r="S319" s="251"/>
      <c r="T319" s="251"/>
    </row>
    <row r="320" spans="1:20" x14ac:dyDescent="0.25">
      <c r="A320" s="251"/>
      <c r="B320" s="251"/>
      <c r="C320" s="251"/>
      <c r="D320" s="251"/>
      <c r="E320" s="251"/>
      <c r="F320" s="251"/>
      <c r="G320" s="251"/>
      <c r="H320" s="251"/>
      <c r="I320" s="251"/>
      <c r="J320" s="251"/>
      <c r="K320" s="251"/>
      <c r="L320" s="251"/>
      <c r="M320" s="251"/>
      <c r="N320" s="251"/>
      <c r="O320" s="251"/>
      <c r="P320" s="251"/>
      <c r="Q320" s="251"/>
      <c r="R320" s="251"/>
      <c r="S320" s="251"/>
      <c r="T320" s="251"/>
    </row>
    <row r="321" spans="1:20" x14ac:dyDescent="0.25">
      <c r="A321" s="251"/>
      <c r="B321" s="251"/>
      <c r="C321" s="251"/>
      <c r="D321" s="251"/>
      <c r="E321" s="251"/>
      <c r="F321" s="251"/>
      <c r="G321" s="251"/>
      <c r="H321" s="251"/>
      <c r="I321" s="251"/>
      <c r="J321" s="251"/>
      <c r="K321" s="251"/>
      <c r="L321" s="251"/>
      <c r="M321" s="251"/>
      <c r="N321" s="251"/>
      <c r="O321" s="251"/>
      <c r="P321" s="251"/>
      <c r="Q321" s="251"/>
      <c r="R321" s="251"/>
      <c r="S321" s="251"/>
      <c r="T321" s="251"/>
    </row>
    <row r="322" spans="1:20" x14ac:dyDescent="0.25">
      <c r="A322" s="251"/>
      <c r="B322" s="251"/>
      <c r="C322" s="251"/>
      <c r="D322" s="251"/>
      <c r="E322" s="251"/>
      <c r="F322" s="251"/>
      <c r="G322" s="251"/>
      <c r="H322" s="251"/>
      <c r="I322" s="251"/>
      <c r="J322" s="251"/>
      <c r="K322" s="251"/>
      <c r="L322" s="251"/>
      <c r="M322" s="251"/>
      <c r="N322" s="251"/>
      <c r="O322" s="251"/>
      <c r="P322" s="251"/>
      <c r="Q322" s="251"/>
      <c r="R322" s="251"/>
      <c r="S322" s="251"/>
      <c r="T322" s="251"/>
    </row>
    <row r="323" spans="1:20" x14ac:dyDescent="0.25">
      <c r="A323" s="251"/>
      <c r="B323" s="251"/>
      <c r="C323" s="251"/>
      <c r="D323" s="251"/>
      <c r="E323" s="251"/>
      <c r="F323" s="251"/>
      <c r="G323" s="251"/>
      <c r="H323" s="251"/>
      <c r="I323" s="251"/>
      <c r="J323" s="251"/>
      <c r="K323" s="251"/>
      <c r="L323" s="251"/>
      <c r="M323" s="251"/>
      <c r="N323" s="251"/>
      <c r="O323" s="251"/>
      <c r="P323" s="251"/>
      <c r="Q323" s="251"/>
      <c r="R323" s="251"/>
      <c r="S323" s="251"/>
      <c r="T323" s="251"/>
    </row>
    <row r="324" spans="1:20" x14ac:dyDescent="0.25">
      <c r="A324" s="251"/>
      <c r="B324" s="251"/>
      <c r="C324" s="251"/>
      <c r="D324" s="251"/>
      <c r="E324" s="251"/>
      <c r="F324" s="251"/>
      <c r="G324" s="251"/>
      <c r="H324" s="251"/>
      <c r="I324" s="251"/>
      <c r="J324" s="251"/>
      <c r="K324" s="251"/>
      <c r="L324" s="251"/>
      <c r="M324" s="251"/>
      <c r="N324" s="251"/>
      <c r="O324" s="251"/>
      <c r="P324" s="251"/>
      <c r="Q324" s="251"/>
      <c r="R324" s="251"/>
      <c r="S324" s="251"/>
      <c r="T324" s="251"/>
    </row>
    <row r="325" spans="1:20" x14ac:dyDescent="0.25">
      <c r="A325" s="251"/>
      <c r="B325" s="251"/>
      <c r="C325" s="251"/>
      <c r="D325" s="251"/>
      <c r="E325" s="251"/>
      <c r="F325" s="251"/>
      <c r="G325" s="251"/>
      <c r="H325" s="251"/>
      <c r="I325" s="251"/>
      <c r="J325" s="251"/>
      <c r="K325" s="251"/>
      <c r="L325" s="251"/>
      <c r="M325" s="251"/>
      <c r="N325" s="251"/>
      <c r="O325" s="251"/>
      <c r="P325" s="251"/>
      <c r="Q325" s="251"/>
      <c r="R325" s="251"/>
      <c r="S325" s="251"/>
      <c r="T325" s="251"/>
    </row>
    <row r="326" spans="1:20" x14ac:dyDescent="0.25">
      <c r="A326" s="251"/>
      <c r="B326" s="251"/>
      <c r="C326" s="251"/>
      <c r="D326" s="251"/>
      <c r="E326" s="251"/>
      <c r="F326" s="251"/>
      <c r="G326" s="251"/>
      <c r="H326" s="251"/>
      <c r="I326" s="251"/>
      <c r="J326" s="251"/>
      <c r="K326" s="251"/>
      <c r="L326" s="251"/>
      <c r="M326" s="251"/>
      <c r="N326" s="251"/>
      <c r="O326" s="251"/>
      <c r="P326" s="251"/>
      <c r="Q326" s="251"/>
      <c r="R326" s="251"/>
      <c r="S326" s="251"/>
      <c r="T326" s="251"/>
    </row>
    <row r="327" spans="1:20" x14ac:dyDescent="0.25">
      <c r="A327" s="251"/>
      <c r="B327" s="251"/>
      <c r="C327" s="251"/>
      <c r="D327" s="251"/>
      <c r="E327" s="251"/>
      <c r="F327" s="251"/>
      <c r="G327" s="251"/>
      <c r="H327" s="251"/>
      <c r="I327" s="251"/>
      <c r="J327" s="251"/>
      <c r="K327" s="251"/>
      <c r="L327" s="251"/>
      <c r="M327" s="251"/>
      <c r="N327" s="251"/>
      <c r="O327" s="251"/>
      <c r="P327" s="251"/>
      <c r="Q327" s="251"/>
      <c r="R327" s="251"/>
      <c r="S327" s="251"/>
      <c r="T327" s="251"/>
    </row>
    <row r="328" spans="1:20" x14ac:dyDescent="0.25">
      <c r="A328" s="251"/>
      <c r="B328" s="251"/>
      <c r="C328" s="251"/>
      <c r="D328" s="251"/>
      <c r="E328" s="251"/>
      <c r="F328" s="251"/>
      <c r="G328" s="251"/>
      <c r="H328" s="251"/>
      <c r="I328" s="251"/>
      <c r="J328" s="251"/>
      <c r="K328" s="251"/>
      <c r="L328" s="251"/>
      <c r="M328" s="251"/>
      <c r="N328" s="251"/>
      <c r="O328" s="251"/>
      <c r="P328" s="251"/>
      <c r="Q328" s="251"/>
      <c r="R328" s="251"/>
      <c r="S328" s="251"/>
      <c r="T328" s="251"/>
    </row>
    <row r="329" spans="1:20" x14ac:dyDescent="0.25">
      <c r="A329" s="251"/>
      <c r="B329" s="251"/>
      <c r="C329" s="251"/>
      <c r="D329" s="251"/>
      <c r="E329" s="251"/>
      <c r="F329" s="251"/>
      <c r="G329" s="251"/>
      <c r="H329" s="251"/>
      <c r="I329" s="251"/>
      <c r="J329" s="251"/>
      <c r="K329" s="251"/>
      <c r="L329" s="251"/>
      <c r="M329" s="251"/>
      <c r="N329" s="251"/>
      <c r="O329" s="251"/>
      <c r="P329" s="251"/>
      <c r="Q329" s="251"/>
      <c r="R329" s="251"/>
      <c r="S329" s="251"/>
      <c r="T329" s="251"/>
    </row>
    <row r="330" spans="1:20" x14ac:dyDescent="0.25">
      <c r="A330" s="251"/>
      <c r="B330" s="251"/>
      <c r="C330" s="251"/>
      <c r="D330" s="251"/>
      <c r="E330" s="251"/>
      <c r="F330" s="251"/>
      <c r="G330" s="251"/>
      <c r="H330" s="251"/>
      <c r="I330" s="251"/>
      <c r="J330" s="251"/>
      <c r="K330" s="251"/>
      <c r="L330" s="251"/>
      <c r="M330" s="251"/>
      <c r="N330" s="251"/>
      <c r="O330" s="251"/>
      <c r="P330" s="251"/>
      <c r="Q330" s="251"/>
      <c r="R330" s="251"/>
      <c r="S330" s="251"/>
      <c r="T330" s="251"/>
    </row>
    <row r="331" spans="1:20" x14ac:dyDescent="0.25">
      <c r="A331" s="251"/>
      <c r="B331" s="251"/>
      <c r="C331" s="251"/>
      <c r="D331" s="251"/>
      <c r="E331" s="251"/>
      <c r="F331" s="251"/>
      <c r="G331" s="251"/>
      <c r="H331" s="251"/>
      <c r="I331" s="251"/>
      <c r="J331" s="251"/>
      <c r="K331" s="251"/>
      <c r="L331" s="251"/>
      <c r="M331" s="251"/>
      <c r="N331" s="251"/>
      <c r="O331" s="251"/>
      <c r="P331" s="251"/>
      <c r="Q331" s="251"/>
      <c r="R331" s="251"/>
      <c r="S331" s="251"/>
      <c r="T331" s="251"/>
    </row>
    <row r="332" spans="1:20" x14ac:dyDescent="0.25">
      <c r="A332" s="251"/>
      <c r="B332" s="251"/>
      <c r="C332" s="251"/>
      <c r="D332" s="251"/>
      <c r="E332" s="251"/>
      <c r="F332" s="251"/>
      <c r="G332" s="251"/>
      <c r="H332" s="251"/>
      <c r="I332" s="251"/>
      <c r="J332" s="251"/>
      <c r="K332" s="251"/>
      <c r="L332" s="251"/>
      <c r="M332" s="251"/>
      <c r="N332" s="251"/>
      <c r="O332" s="251"/>
      <c r="P332" s="251"/>
      <c r="Q332" s="251"/>
      <c r="R332" s="251"/>
      <c r="S332" s="251"/>
      <c r="T332" s="251"/>
    </row>
    <row r="333" spans="1:20" x14ac:dyDescent="0.25">
      <c r="A333" s="251"/>
      <c r="B333" s="251"/>
      <c r="C333" s="251"/>
      <c r="D333" s="251"/>
      <c r="E333" s="251"/>
      <c r="F333" s="251"/>
      <c r="G333" s="251"/>
      <c r="H333" s="251"/>
      <c r="I333" s="251"/>
      <c r="J333" s="251"/>
      <c r="K333" s="251"/>
      <c r="L333" s="251"/>
      <c r="M333" s="251"/>
      <c r="N333" s="251"/>
      <c r="O333" s="251"/>
      <c r="P333" s="251"/>
      <c r="Q333" s="251"/>
      <c r="R333" s="251"/>
      <c r="S333" s="251"/>
      <c r="T333" s="251"/>
    </row>
    <row r="334" spans="1:20" x14ac:dyDescent="0.25">
      <c r="A334" s="251"/>
      <c r="B334" s="251"/>
      <c r="C334" s="251"/>
      <c r="D334" s="251"/>
      <c r="E334" s="251"/>
      <c r="F334" s="251"/>
      <c r="G334" s="251"/>
      <c r="H334" s="251"/>
      <c r="I334" s="251"/>
      <c r="J334" s="251"/>
      <c r="K334" s="251"/>
      <c r="L334" s="251"/>
      <c r="M334" s="251"/>
      <c r="N334" s="251"/>
      <c r="O334" s="251"/>
      <c r="P334" s="251"/>
      <c r="Q334" s="251"/>
      <c r="R334" s="251"/>
      <c r="S334" s="251"/>
      <c r="T334" s="251"/>
    </row>
    <row r="335" spans="1:20" x14ac:dyDescent="0.25">
      <c r="A335" s="251"/>
      <c r="B335" s="251"/>
      <c r="C335" s="251"/>
      <c r="D335" s="251"/>
      <c r="E335" s="251"/>
      <c r="F335" s="251"/>
      <c r="G335" s="251"/>
      <c r="H335" s="251"/>
      <c r="I335" s="251"/>
      <c r="J335" s="251"/>
      <c r="K335" s="251"/>
      <c r="L335" s="251"/>
      <c r="M335" s="251"/>
      <c r="N335" s="251"/>
      <c r="O335" s="251"/>
      <c r="P335" s="251"/>
      <c r="Q335" s="251"/>
      <c r="R335" s="251"/>
      <c r="S335" s="251"/>
      <c r="T335" s="251"/>
    </row>
    <row r="336" spans="1:20" x14ac:dyDescent="0.25">
      <c r="A336" s="251"/>
      <c r="B336" s="251"/>
      <c r="C336" s="251"/>
      <c r="D336" s="251"/>
      <c r="E336" s="251"/>
      <c r="F336" s="251"/>
      <c r="G336" s="251"/>
      <c r="H336" s="251"/>
      <c r="I336" s="251"/>
      <c r="J336" s="251"/>
      <c r="K336" s="251"/>
      <c r="L336" s="251"/>
      <c r="M336" s="251"/>
      <c r="N336" s="251"/>
      <c r="O336" s="251"/>
      <c r="P336" s="251"/>
      <c r="Q336" s="251"/>
      <c r="R336" s="251"/>
      <c r="S336" s="251"/>
      <c r="T336" s="251"/>
    </row>
    <row r="337" spans="1:20" x14ac:dyDescent="0.25">
      <c r="A337" s="251"/>
      <c r="B337" s="251"/>
      <c r="C337" s="251"/>
      <c r="D337" s="251"/>
      <c r="E337" s="251"/>
      <c r="F337" s="251"/>
      <c r="G337" s="251"/>
      <c r="H337" s="251"/>
      <c r="I337" s="251"/>
      <c r="J337" s="251"/>
      <c r="K337" s="251"/>
      <c r="L337" s="251"/>
      <c r="M337" s="251"/>
      <c r="N337" s="251"/>
      <c r="O337" s="251"/>
      <c r="P337" s="251"/>
      <c r="Q337" s="251"/>
      <c r="R337" s="251"/>
      <c r="S337" s="251"/>
      <c r="T337" s="251"/>
    </row>
    <row r="338" spans="1:20" x14ac:dyDescent="0.25">
      <c r="A338" s="251"/>
      <c r="B338" s="251"/>
      <c r="C338" s="251"/>
      <c r="D338" s="251"/>
      <c r="E338" s="251"/>
      <c r="F338" s="251"/>
      <c r="G338" s="251"/>
      <c r="H338" s="251"/>
      <c r="I338" s="251"/>
      <c r="J338" s="251"/>
      <c r="K338" s="251"/>
      <c r="L338" s="251"/>
      <c r="M338" s="251"/>
      <c r="N338" s="251"/>
      <c r="O338" s="251"/>
      <c r="P338" s="251"/>
      <c r="Q338" s="251"/>
      <c r="R338" s="251"/>
      <c r="S338" s="251"/>
      <c r="T338" s="25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1" zoomScale="70" zoomScaleNormal="80" zoomScaleSheetLayoutView="70" workbookViewId="0">
      <selection activeCell="I26" sqref="I26"/>
    </sheetView>
  </sheetViews>
  <sheetFormatPr defaultRowHeight="15.75" x14ac:dyDescent="0.25"/>
  <cols>
    <col min="1" max="1" width="9.140625" style="55"/>
    <col min="2" max="2" width="37.7109375" style="55" customWidth="1"/>
    <col min="3" max="6" width="16.28515625" style="55" customWidth="1"/>
    <col min="7" max="8" width="16.28515625" style="55" hidden="1" customWidth="1"/>
    <col min="9" max="9" width="16.28515625" style="55" customWidth="1"/>
    <col min="10" max="10" width="25.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5" t="s">
        <v>66</v>
      </c>
    </row>
    <row r="2" spans="1:44" ht="18.75" x14ac:dyDescent="0.3">
      <c r="L2" s="15" t="s">
        <v>8</v>
      </c>
    </row>
    <row r="3" spans="1:44" ht="18.75" x14ac:dyDescent="0.3">
      <c r="L3" s="15" t="s">
        <v>65</v>
      </c>
    </row>
    <row r="4" spans="1:44" ht="18.75" x14ac:dyDescent="0.3">
      <c r="K4" s="15"/>
    </row>
    <row r="5" spans="1:44" x14ac:dyDescent="0.25">
      <c r="A5" s="435" t="str">
        <f>'2. паспорт  ТП'!A4:S4</f>
        <v>Год раскрытия информации: 2022 год</v>
      </c>
      <c r="B5" s="435"/>
      <c r="C5" s="435"/>
      <c r="D5" s="435"/>
      <c r="E5" s="435"/>
      <c r="F5" s="435"/>
      <c r="G5" s="435"/>
      <c r="H5" s="435"/>
      <c r="I5" s="435"/>
      <c r="J5" s="435"/>
      <c r="K5" s="435"/>
      <c r="L5" s="435"/>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4"/>
      <c r="AR5" s="154"/>
    </row>
    <row r="6" spans="1:44" ht="18.75" x14ac:dyDescent="0.3">
      <c r="K6" s="15"/>
    </row>
    <row r="7" spans="1:44" ht="18.75" x14ac:dyDescent="0.25">
      <c r="A7" s="443" t="s">
        <v>7</v>
      </c>
      <c r="B7" s="443"/>
      <c r="C7" s="443"/>
      <c r="D7" s="443"/>
      <c r="E7" s="443"/>
      <c r="F7" s="443"/>
      <c r="G7" s="443"/>
      <c r="H7" s="443"/>
      <c r="I7" s="443"/>
      <c r="J7" s="443"/>
      <c r="K7" s="443"/>
      <c r="L7" s="443"/>
    </row>
    <row r="8" spans="1:44" ht="18.75" x14ac:dyDescent="0.25">
      <c r="A8" s="443"/>
      <c r="B8" s="443"/>
      <c r="C8" s="443"/>
      <c r="D8" s="443"/>
      <c r="E8" s="443"/>
      <c r="F8" s="443"/>
      <c r="G8" s="443"/>
      <c r="H8" s="443"/>
      <c r="I8" s="443"/>
      <c r="J8" s="443"/>
      <c r="K8" s="443"/>
      <c r="L8" s="443"/>
    </row>
    <row r="9" spans="1:44" x14ac:dyDescent="0.25">
      <c r="A9" s="444" t="str">
        <f>'1. паспорт местоположение'!A9:C9</f>
        <v>Акционерное общество "Янтарьэнерго" ДЗО  ПАО "Россети"</v>
      </c>
      <c r="B9" s="444"/>
      <c r="C9" s="444"/>
      <c r="D9" s="444"/>
      <c r="E9" s="444"/>
      <c r="F9" s="444"/>
      <c r="G9" s="444"/>
      <c r="H9" s="444"/>
      <c r="I9" s="444"/>
      <c r="J9" s="444"/>
      <c r="K9" s="444"/>
      <c r="L9" s="444"/>
    </row>
    <row r="10" spans="1:44" x14ac:dyDescent="0.25">
      <c r="A10" s="448" t="s">
        <v>6</v>
      </c>
      <c r="B10" s="448"/>
      <c r="C10" s="448"/>
      <c r="D10" s="448"/>
      <c r="E10" s="448"/>
      <c r="F10" s="448"/>
      <c r="G10" s="448"/>
      <c r="H10" s="448"/>
      <c r="I10" s="448"/>
      <c r="J10" s="448"/>
      <c r="K10" s="448"/>
      <c r="L10" s="448"/>
    </row>
    <row r="11" spans="1:44" ht="18.75" x14ac:dyDescent="0.25">
      <c r="A11" s="443"/>
      <c r="B11" s="443"/>
      <c r="C11" s="443"/>
      <c r="D11" s="443"/>
      <c r="E11" s="443"/>
      <c r="F11" s="443"/>
      <c r="G11" s="443"/>
      <c r="H11" s="443"/>
      <c r="I11" s="443"/>
      <c r="J11" s="443"/>
      <c r="K11" s="443"/>
      <c r="L11" s="443"/>
    </row>
    <row r="12" spans="1:44" x14ac:dyDescent="0.25">
      <c r="A12" s="444" t="str">
        <f>'1. паспорт местоположение'!A12:C12</f>
        <v>F_48-НН</v>
      </c>
      <c r="B12" s="444"/>
      <c r="C12" s="444"/>
      <c r="D12" s="444"/>
      <c r="E12" s="444"/>
      <c r="F12" s="444"/>
      <c r="G12" s="444"/>
      <c r="H12" s="444"/>
      <c r="I12" s="444"/>
      <c r="J12" s="444"/>
      <c r="K12" s="444"/>
      <c r="L12" s="444"/>
    </row>
    <row r="13" spans="1:44" x14ac:dyDescent="0.25">
      <c r="A13" s="448" t="s">
        <v>5</v>
      </c>
      <c r="B13" s="448"/>
      <c r="C13" s="448"/>
      <c r="D13" s="448"/>
      <c r="E13" s="448"/>
      <c r="F13" s="448"/>
      <c r="G13" s="448"/>
      <c r="H13" s="448"/>
      <c r="I13" s="448"/>
      <c r="J13" s="448"/>
      <c r="K13" s="448"/>
      <c r="L13" s="448"/>
    </row>
    <row r="14" spans="1:44" ht="18.75" x14ac:dyDescent="0.25">
      <c r="A14" s="449"/>
      <c r="B14" s="449"/>
      <c r="C14" s="449"/>
      <c r="D14" s="449"/>
      <c r="E14" s="449"/>
      <c r="F14" s="449"/>
      <c r="G14" s="449"/>
      <c r="H14" s="449"/>
      <c r="I14" s="449"/>
      <c r="J14" s="449"/>
      <c r="K14" s="449"/>
      <c r="L14" s="449"/>
    </row>
    <row r="15" spans="1:44" x14ac:dyDescent="0.25">
      <c r="A15" s="444" t="str">
        <f>'1. паспорт местоположение'!A15</f>
        <v>Организация интеллектуальной системы учета электроэнергии (приобретение компонентов интеллектуальной системы учета, выполнение проектных, строительно-монтажных и пусконаладочных работ по модернизации / созданию интеллектуальной системы учета электроэнергии)</v>
      </c>
      <c r="B15" s="444"/>
      <c r="C15" s="444"/>
      <c r="D15" s="444"/>
      <c r="E15" s="444"/>
      <c r="F15" s="444"/>
      <c r="G15" s="444"/>
      <c r="H15" s="444"/>
      <c r="I15" s="444"/>
      <c r="J15" s="444"/>
      <c r="K15" s="444"/>
      <c r="L15" s="444"/>
    </row>
    <row r="16" spans="1:44" x14ac:dyDescent="0.25">
      <c r="A16" s="448" t="s">
        <v>4</v>
      </c>
      <c r="B16" s="448"/>
      <c r="C16" s="448"/>
      <c r="D16" s="448"/>
      <c r="E16" s="448"/>
      <c r="F16" s="448"/>
      <c r="G16" s="448"/>
      <c r="H16" s="448"/>
      <c r="I16" s="448"/>
      <c r="J16" s="448"/>
      <c r="K16" s="448"/>
      <c r="L16" s="448"/>
    </row>
    <row r="17" spans="1:12" ht="15.75" customHeight="1" x14ac:dyDescent="0.25">
      <c r="L17" s="80"/>
    </row>
    <row r="18" spans="1:12" x14ac:dyDescent="0.25">
      <c r="K18" s="79"/>
    </row>
    <row r="19" spans="1:12" ht="15.75" customHeight="1" x14ac:dyDescent="0.25">
      <c r="A19" s="511" t="s">
        <v>488</v>
      </c>
      <c r="B19" s="511"/>
      <c r="C19" s="511"/>
      <c r="D19" s="511"/>
      <c r="E19" s="511"/>
      <c r="F19" s="511"/>
      <c r="G19" s="511"/>
      <c r="H19" s="511"/>
      <c r="I19" s="511"/>
      <c r="J19" s="511"/>
      <c r="K19" s="511"/>
      <c r="L19" s="511"/>
    </row>
    <row r="20" spans="1:12" x14ac:dyDescent="0.25">
      <c r="A20" s="57"/>
      <c r="B20" s="57"/>
      <c r="C20" s="78"/>
      <c r="D20" s="78"/>
      <c r="E20" s="78"/>
      <c r="F20" s="78"/>
      <c r="G20" s="78"/>
      <c r="H20" s="78"/>
      <c r="I20" s="78"/>
      <c r="J20" s="78"/>
      <c r="K20" s="78"/>
      <c r="L20" s="78"/>
    </row>
    <row r="21" spans="1:12" ht="28.5" customHeight="1" x14ac:dyDescent="0.25">
      <c r="A21" s="501" t="s">
        <v>216</v>
      </c>
      <c r="B21" s="501" t="s">
        <v>215</v>
      </c>
      <c r="C21" s="507" t="s">
        <v>420</v>
      </c>
      <c r="D21" s="507"/>
      <c r="E21" s="507"/>
      <c r="F21" s="507"/>
      <c r="G21" s="507"/>
      <c r="H21" s="507"/>
      <c r="I21" s="502" t="s">
        <v>214</v>
      </c>
      <c r="J21" s="504" t="s">
        <v>422</v>
      </c>
      <c r="K21" s="501" t="s">
        <v>213</v>
      </c>
      <c r="L21" s="503" t="s">
        <v>421</v>
      </c>
    </row>
    <row r="22" spans="1:12" ht="58.5" customHeight="1" x14ac:dyDescent="0.25">
      <c r="A22" s="501"/>
      <c r="B22" s="501"/>
      <c r="C22" s="508" t="s">
        <v>2</v>
      </c>
      <c r="D22" s="508"/>
      <c r="E22" s="509" t="s">
        <v>9</v>
      </c>
      <c r="F22" s="510"/>
      <c r="G22" s="509" t="s">
        <v>744</v>
      </c>
      <c r="H22" s="510"/>
      <c r="I22" s="502"/>
      <c r="J22" s="505"/>
      <c r="K22" s="501"/>
      <c r="L22" s="503"/>
    </row>
    <row r="23" spans="1:12" ht="31.5" x14ac:dyDescent="0.25">
      <c r="A23" s="501"/>
      <c r="B23" s="501"/>
      <c r="C23" s="77" t="s">
        <v>212</v>
      </c>
      <c r="D23" s="77" t="s">
        <v>211</v>
      </c>
      <c r="E23" s="77" t="s">
        <v>212</v>
      </c>
      <c r="F23" s="77" t="s">
        <v>211</v>
      </c>
      <c r="G23" s="77" t="s">
        <v>212</v>
      </c>
      <c r="H23" s="77" t="s">
        <v>211</v>
      </c>
      <c r="I23" s="502"/>
      <c r="J23" s="506"/>
      <c r="K23" s="501"/>
      <c r="L23" s="503"/>
    </row>
    <row r="24" spans="1:12" x14ac:dyDescent="0.25">
      <c r="A24" s="62">
        <v>1</v>
      </c>
      <c r="B24" s="62">
        <v>2</v>
      </c>
      <c r="C24" s="77">
        <v>3</v>
      </c>
      <c r="D24" s="77">
        <v>4</v>
      </c>
      <c r="E24" s="77">
        <v>5</v>
      </c>
      <c r="F24" s="77">
        <v>6</v>
      </c>
      <c r="G24" s="77">
        <v>7</v>
      </c>
      <c r="H24" s="77">
        <v>8</v>
      </c>
      <c r="I24" s="77">
        <v>9</v>
      </c>
      <c r="J24" s="77">
        <v>10</v>
      </c>
      <c r="K24" s="77">
        <v>11</v>
      </c>
      <c r="L24" s="77">
        <v>12</v>
      </c>
    </row>
    <row r="25" spans="1:12" x14ac:dyDescent="0.25">
      <c r="A25" s="71">
        <v>1</v>
      </c>
      <c r="B25" s="72" t="s">
        <v>210</v>
      </c>
      <c r="C25" s="75"/>
      <c r="D25" s="75"/>
      <c r="E25" s="75"/>
      <c r="F25" s="75"/>
      <c r="G25" s="75"/>
      <c r="H25" s="75"/>
      <c r="I25" s="75"/>
      <c r="J25" s="75"/>
      <c r="K25" s="68"/>
      <c r="L25" s="88"/>
    </row>
    <row r="26" spans="1:12" ht="21.75" customHeight="1" x14ac:dyDescent="0.25">
      <c r="A26" s="71" t="s">
        <v>209</v>
      </c>
      <c r="B26" s="76" t="s">
        <v>427</v>
      </c>
      <c r="C26" s="69" t="s">
        <v>523</v>
      </c>
      <c r="D26" s="69" t="s">
        <v>523</v>
      </c>
      <c r="E26" s="69" t="s">
        <v>523</v>
      </c>
      <c r="F26" s="69" t="s">
        <v>523</v>
      </c>
      <c r="G26" s="69"/>
      <c r="H26" s="69"/>
      <c r="I26" s="69"/>
      <c r="J26" s="75"/>
      <c r="K26" s="68"/>
      <c r="L26" s="68"/>
    </row>
    <row r="27" spans="1:12" s="58" customFormat="1" ht="39" customHeight="1" x14ac:dyDescent="0.25">
      <c r="A27" s="71" t="s">
        <v>208</v>
      </c>
      <c r="B27" s="76" t="s">
        <v>429</v>
      </c>
      <c r="C27" s="69" t="s">
        <v>523</v>
      </c>
      <c r="D27" s="69" t="s">
        <v>523</v>
      </c>
      <c r="E27" s="69" t="s">
        <v>523</v>
      </c>
      <c r="F27" s="69" t="s">
        <v>523</v>
      </c>
      <c r="G27" s="69"/>
      <c r="H27" s="69"/>
      <c r="I27" s="69"/>
      <c r="J27" s="75"/>
      <c r="K27" s="68"/>
      <c r="L27" s="68"/>
    </row>
    <row r="28" spans="1:12" s="58" customFormat="1" ht="70.5" customHeight="1" x14ac:dyDescent="0.25">
      <c r="A28" s="71" t="s">
        <v>428</v>
      </c>
      <c r="B28" s="76" t="s">
        <v>433</v>
      </c>
      <c r="C28" s="69" t="s">
        <v>523</v>
      </c>
      <c r="D28" s="69" t="s">
        <v>523</v>
      </c>
      <c r="E28" s="69" t="s">
        <v>523</v>
      </c>
      <c r="F28" s="69" t="s">
        <v>523</v>
      </c>
      <c r="G28" s="69"/>
      <c r="H28" s="69"/>
      <c r="I28" s="69"/>
      <c r="J28" s="75"/>
      <c r="K28" s="68"/>
      <c r="L28" s="68"/>
    </row>
    <row r="29" spans="1:12" s="58" customFormat="1" ht="54" customHeight="1" x14ac:dyDescent="0.25">
      <c r="A29" s="71" t="s">
        <v>207</v>
      </c>
      <c r="B29" s="76" t="s">
        <v>432</v>
      </c>
      <c r="C29" s="69" t="s">
        <v>523</v>
      </c>
      <c r="D29" s="69" t="s">
        <v>523</v>
      </c>
      <c r="E29" s="69" t="s">
        <v>523</v>
      </c>
      <c r="F29" s="69" t="s">
        <v>523</v>
      </c>
      <c r="G29" s="69"/>
      <c r="H29" s="69"/>
      <c r="I29" s="69"/>
      <c r="J29" s="75"/>
      <c r="K29" s="68"/>
      <c r="L29" s="68"/>
    </row>
    <row r="30" spans="1:12" s="58" customFormat="1" ht="42" customHeight="1" x14ac:dyDescent="0.25">
      <c r="A30" s="71" t="s">
        <v>206</v>
      </c>
      <c r="B30" s="76" t="s">
        <v>434</v>
      </c>
      <c r="C30" s="69" t="s">
        <v>523</v>
      </c>
      <c r="D30" s="69" t="s">
        <v>523</v>
      </c>
      <c r="E30" s="69" t="s">
        <v>523</v>
      </c>
      <c r="F30" s="69" t="s">
        <v>523</v>
      </c>
      <c r="G30" s="69"/>
      <c r="H30" s="69"/>
      <c r="I30" s="69"/>
      <c r="J30" s="75"/>
      <c r="K30" s="68"/>
      <c r="L30" s="68"/>
    </row>
    <row r="31" spans="1:12" s="58" customFormat="1" ht="37.5" customHeight="1" x14ac:dyDescent="0.25">
      <c r="A31" s="71" t="s">
        <v>205</v>
      </c>
      <c r="B31" s="70" t="s">
        <v>430</v>
      </c>
      <c r="C31" s="69" t="s">
        <v>523</v>
      </c>
      <c r="D31" s="69" t="s">
        <v>523</v>
      </c>
      <c r="E31" s="69" t="s">
        <v>523</v>
      </c>
      <c r="F31" s="69" t="s">
        <v>523</v>
      </c>
      <c r="G31" s="69"/>
      <c r="H31" s="69"/>
      <c r="I31" s="69"/>
      <c r="J31" s="75"/>
      <c r="K31" s="68"/>
      <c r="L31" s="68"/>
    </row>
    <row r="32" spans="1:12" s="58" customFormat="1" ht="31.5" x14ac:dyDescent="0.25">
      <c r="A32" s="71" t="s">
        <v>203</v>
      </c>
      <c r="B32" s="70" t="s">
        <v>435</v>
      </c>
      <c r="C32" s="69" t="s">
        <v>523</v>
      </c>
      <c r="D32" s="69" t="s">
        <v>523</v>
      </c>
      <c r="E32" s="69" t="s">
        <v>523</v>
      </c>
      <c r="F32" s="69" t="s">
        <v>523</v>
      </c>
      <c r="G32" s="69"/>
      <c r="H32" s="69"/>
      <c r="I32" s="69"/>
      <c r="J32" s="75"/>
      <c r="K32" s="68"/>
      <c r="L32" s="68"/>
    </row>
    <row r="33" spans="1:12" s="58" customFormat="1" ht="37.5" customHeight="1" x14ac:dyDescent="0.25">
      <c r="A33" s="71" t="s">
        <v>446</v>
      </c>
      <c r="B33" s="70" t="s">
        <v>367</v>
      </c>
      <c r="C33" s="69" t="s">
        <v>523</v>
      </c>
      <c r="D33" s="69" t="s">
        <v>523</v>
      </c>
      <c r="E33" s="69" t="s">
        <v>523</v>
      </c>
      <c r="F33" s="69" t="s">
        <v>523</v>
      </c>
      <c r="G33" s="69"/>
      <c r="H33" s="69"/>
      <c r="I33" s="69"/>
      <c r="J33" s="75"/>
      <c r="K33" s="68"/>
      <c r="L33" s="68"/>
    </row>
    <row r="34" spans="1:12" s="58" customFormat="1" ht="47.25" customHeight="1" x14ac:dyDescent="0.25">
      <c r="A34" s="71" t="s">
        <v>447</v>
      </c>
      <c r="B34" s="70" t="s">
        <v>439</v>
      </c>
      <c r="C34" s="69" t="s">
        <v>523</v>
      </c>
      <c r="D34" s="69" t="s">
        <v>523</v>
      </c>
      <c r="E34" s="69" t="s">
        <v>523</v>
      </c>
      <c r="F34" s="69" t="s">
        <v>523</v>
      </c>
      <c r="G34" s="69"/>
      <c r="H34" s="69"/>
      <c r="I34" s="69"/>
      <c r="J34" s="74"/>
      <c r="K34" s="74"/>
      <c r="L34" s="68"/>
    </row>
    <row r="35" spans="1:12" s="58" customFormat="1" ht="21" customHeight="1" x14ac:dyDescent="0.25">
      <c r="A35" s="71" t="s">
        <v>448</v>
      </c>
      <c r="B35" s="70" t="s">
        <v>204</v>
      </c>
      <c r="C35" s="69" t="s">
        <v>523</v>
      </c>
      <c r="D35" s="69" t="s">
        <v>523</v>
      </c>
      <c r="E35" s="69" t="s">
        <v>523</v>
      </c>
      <c r="F35" s="69" t="s">
        <v>523</v>
      </c>
      <c r="G35" s="69"/>
      <c r="H35" s="69"/>
      <c r="I35" s="69"/>
      <c r="J35" s="74"/>
      <c r="K35" s="74"/>
      <c r="L35" s="68"/>
    </row>
    <row r="36" spans="1:12" ht="37.5" customHeight="1" x14ac:dyDescent="0.25">
      <c r="A36" s="71" t="s">
        <v>449</v>
      </c>
      <c r="B36" s="70" t="s">
        <v>431</v>
      </c>
      <c r="C36" s="69" t="s">
        <v>523</v>
      </c>
      <c r="D36" s="69" t="s">
        <v>523</v>
      </c>
      <c r="E36" s="69" t="s">
        <v>523</v>
      </c>
      <c r="F36" s="69" t="s">
        <v>523</v>
      </c>
      <c r="G36" s="69"/>
      <c r="H36" s="69"/>
      <c r="I36" s="69"/>
      <c r="J36" s="73"/>
      <c r="K36" s="68"/>
      <c r="L36" s="68"/>
    </row>
    <row r="37" spans="1:12" x14ac:dyDescent="0.25">
      <c r="A37" s="71" t="s">
        <v>450</v>
      </c>
      <c r="B37" s="70" t="s">
        <v>202</v>
      </c>
      <c r="C37" s="69" t="s">
        <v>523</v>
      </c>
      <c r="D37" s="69" t="s">
        <v>523</v>
      </c>
      <c r="E37" s="69" t="s">
        <v>523</v>
      </c>
      <c r="F37" s="69" t="s">
        <v>523</v>
      </c>
      <c r="G37" s="69"/>
      <c r="H37" s="69"/>
      <c r="I37" s="69"/>
      <c r="J37" s="73"/>
      <c r="K37" s="68"/>
      <c r="L37" s="68"/>
    </row>
    <row r="38" spans="1:12" x14ac:dyDescent="0.25">
      <c r="A38" s="71" t="s">
        <v>451</v>
      </c>
      <c r="B38" s="72" t="s">
        <v>201</v>
      </c>
      <c r="C38" s="69"/>
      <c r="D38" s="69"/>
      <c r="E38" s="69"/>
      <c r="F38" s="69"/>
      <c r="G38" s="69"/>
      <c r="H38" s="69"/>
      <c r="I38" s="69"/>
      <c r="J38" s="68"/>
      <c r="K38" s="68"/>
      <c r="L38" s="68"/>
    </row>
    <row r="39" spans="1:12" ht="63" x14ac:dyDescent="0.25">
      <c r="A39" s="71">
        <v>2</v>
      </c>
      <c r="B39" s="70" t="s">
        <v>436</v>
      </c>
      <c r="C39" s="69" t="s">
        <v>523</v>
      </c>
      <c r="D39" s="69" t="s">
        <v>523</v>
      </c>
      <c r="E39" s="69" t="s">
        <v>523</v>
      </c>
      <c r="F39" s="69" t="s">
        <v>523</v>
      </c>
      <c r="G39" s="69"/>
      <c r="H39" s="69"/>
      <c r="I39" s="69"/>
      <c r="J39" s="72"/>
      <c r="K39" s="68"/>
      <c r="L39" s="68"/>
    </row>
    <row r="40" spans="1:12" ht="94.5" x14ac:dyDescent="0.25">
      <c r="A40" s="71" t="s">
        <v>200</v>
      </c>
      <c r="B40" s="70" t="s">
        <v>438</v>
      </c>
      <c r="C40" s="231" t="s">
        <v>759</v>
      </c>
      <c r="D40" s="231" t="s">
        <v>760</v>
      </c>
      <c r="E40" s="231" t="s">
        <v>759</v>
      </c>
      <c r="F40" s="231" t="s">
        <v>760</v>
      </c>
      <c r="G40" s="231"/>
      <c r="H40" s="231"/>
      <c r="I40" s="69">
        <v>100</v>
      </c>
      <c r="J40" s="69"/>
      <c r="K40" s="68"/>
      <c r="L40" s="68"/>
    </row>
    <row r="41" spans="1:12" ht="47.25" x14ac:dyDescent="0.25">
      <c r="A41" s="71" t="s">
        <v>199</v>
      </c>
      <c r="B41" s="72" t="s">
        <v>518</v>
      </c>
      <c r="C41" s="69"/>
      <c r="D41" s="69"/>
      <c r="E41" s="69"/>
      <c r="F41" s="69"/>
      <c r="G41" s="69"/>
      <c r="H41" s="69"/>
      <c r="I41" s="69"/>
      <c r="J41" s="72"/>
      <c r="K41" s="68"/>
      <c r="L41" s="68"/>
    </row>
    <row r="42" spans="1:12" ht="58.5" customHeight="1" x14ac:dyDescent="0.25">
      <c r="A42" s="71">
        <v>3</v>
      </c>
      <c r="B42" s="70" t="s">
        <v>437</v>
      </c>
      <c r="C42" s="69" t="s">
        <v>523</v>
      </c>
      <c r="D42" s="69" t="s">
        <v>523</v>
      </c>
      <c r="E42" s="69" t="s">
        <v>523</v>
      </c>
      <c r="F42" s="69" t="s">
        <v>523</v>
      </c>
      <c r="G42" s="69"/>
      <c r="H42" s="69"/>
      <c r="I42" s="69"/>
      <c r="J42" s="68"/>
      <c r="K42" s="68"/>
      <c r="L42" s="68"/>
    </row>
    <row r="43" spans="1:12" ht="94.5" x14ac:dyDescent="0.25">
      <c r="A43" s="71" t="s">
        <v>198</v>
      </c>
      <c r="B43" s="70" t="s">
        <v>196</v>
      </c>
      <c r="C43" s="231" t="s">
        <v>759</v>
      </c>
      <c r="D43" s="231" t="s">
        <v>760</v>
      </c>
      <c r="E43" s="231" t="s">
        <v>759</v>
      </c>
      <c r="F43" s="231" t="s">
        <v>760</v>
      </c>
      <c r="G43" s="231"/>
      <c r="H43" s="231"/>
      <c r="I43" s="69">
        <v>100</v>
      </c>
      <c r="J43" s="69"/>
      <c r="K43" s="68"/>
      <c r="L43" s="68"/>
    </row>
    <row r="44" spans="1:12" ht="94.5" x14ac:dyDescent="0.25">
      <c r="A44" s="71" t="s">
        <v>197</v>
      </c>
      <c r="B44" s="70" t="s">
        <v>194</v>
      </c>
      <c r="C44" s="231" t="s">
        <v>759</v>
      </c>
      <c r="D44" s="231" t="s">
        <v>760</v>
      </c>
      <c r="E44" s="231" t="s">
        <v>759</v>
      </c>
      <c r="F44" s="231" t="s">
        <v>760</v>
      </c>
      <c r="G44" s="231"/>
      <c r="H44" s="231"/>
      <c r="I44" s="69">
        <v>100</v>
      </c>
      <c r="J44" s="69"/>
      <c r="K44" s="68"/>
      <c r="L44" s="68"/>
    </row>
    <row r="45" spans="1:12" ht="90.75" customHeight="1" x14ac:dyDescent="0.25">
      <c r="A45" s="71" t="s">
        <v>195</v>
      </c>
      <c r="B45" s="70" t="s">
        <v>442</v>
      </c>
      <c r="C45" s="69" t="s">
        <v>523</v>
      </c>
      <c r="D45" s="69" t="s">
        <v>523</v>
      </c>
      <c r="E45" s="69" t="s">
        <v>523</v>
      </c>
      <c r="F45" s="69" t="s">
        <v>523</v>
      </c>
      <c r="G45" s="69"/>
      <c r="H45" s="69"/>
      <c r="I45" s="69"/>
      <c r="J45" s="68"/>
      <c r="K45" s="68"/>
      <c r="L45" s="68"/>
    </row>
    <row r="46" spans="1:12" ht="167.25" customHeight="1" x14ac:dyDescent="0.25">
      <c r="A46" s="71" t="s">
        <v>193</v>
      </c>
      <c r="B46" s="70" t="s">
        <v>440</v>
      </c>
      <c r="C46" s="69" t="s">
        <v>523</v>
      </c>
      <c r="D46" s="69" t="s">
        <v>523</v>
      </c>
      <c r="E46" s="69" t="s">
        <v>523</v>
      </c>
      <c r="F46" s="69" t="s">
        <v>523</v>
      </c>
      <c r="G46" s="69"/>
      <c r="H46" s="69"/>
      <c r="I46" s="69"/>
      <c r="J46" s="68"/>
      <c r="K46" s="68"/>
      <c r="L46" s="68"/>
    </row>
    <row r="47" spans="1:12" ht="30.75" customHeight="1" x14ac:dyDescent="0.25">
      <c r="A47" s="71" t="s">
        <v>191</v>
      </c>
      <c r="B47" s="70" t="s">
        <v>192</v>
      </c>
      <c r="C47" s="69" t="s">
        <v>523</v>
      </c>
      <c r="D47" s="69" t="s">
        <v>523</v>
      </c>
      <c r="E47" s="69" t="s">
        <v>523</v>
      </c>
      <c r="F47" s="69" t="s">
        <v>523</v>
      </c>
      <c r="G47" s="69"/>
      <c r="H47" s="69"/>
      <c r="I47" s="69"/>
      <c r="J47" s="68"/>
      <c r="K47" s="68"/>
      <c r="L47" s="68"/>
    </row>
    <row r="48" spans="1:12" ht="37.5" customHeight="1" x14ac:dyDescent="0.25">
      <c r="A48" s="71" t="s">
        <v>452</v>
      </c>
      <c r="B48" s="72" t="s">
        <v>190</v>
      </c>
      <c r="C48" s="69"/>
      <c r="D48" s="69"/>
      <c r="E48" s="69"/>
      <c r="F48" s="69"/>
      <c r="G48" s="69"/>
      <c r="H48" s="69"/>
      <c r="I48" s="69"/>
      <c r="J48" s="68"/>
      <c r="K48" s="68"/>
      <c r="L48" s="68"/>
    </row>
    <row r="49" spans="1:12" ht="35.25" customHeight="1" x14ac:dyDescent="0.25">
      <c r="A49" s="71">
        <v>4</v>
      </c>
      <c r="B49" s="70" t="s">
        <v>188</v>
      </c>
      <c r="C49" s="69" t="s">
        <v>523</v>
      </c>
      <c r="D49" s="69" t="s">
        <v>523</v>
      </c>
      <c r="E49" s="69" t="s">
        <v>523</v>
      </c>
      <c r="F49" s="69" t="s">
        <v>523</v>
      </c>
      <c r="G49" s="69"/>
      <c r="H49" s="69"/>
      <c r="I49" s="69"/>
      <c r="J49" s="68"/>
      <c r="K49" s="68"/>
      <c r="L49" s="68"/>
    </row>
    <row r="50" spans="1:12" ht="94.5" x14ac:dyDescent="0.25">
      <c r="A50" s="71" t="s">
        <v>189</v>
      </c>
      <c r="B50" s="70" t="s">
        <v>441</v>
      </c>
      <c r="C50" s="231" t="s">
        <v>759</v>
      </c>
      <c r="D50" s="231" t="s">
        <v>760</v>
      </c>
      <c r="E50" s="231" t="s">
        <v>759</v>
      </c>
      <c r="F50" s="231" t="s">
        <v>760</v>
      </c>
      <c r="G50" s="231"/>
      <c r="H50" s="231"/>
      <c r="I50" s="69">
        <v>100</v>
      </c>
      <c r="J50" s="69"/>
      <c r="K50" s="68"/>
      <c r="L50" s="68"/>
    </row>
    <row r="51" spans="1:12" ht="77.25" customHeight="1" x14ac:dyDescent="0.25">
      <c r="A51" s="71" t="s">
        <v>187</v>
      </c>
      <c r="B51" s="70" t="s">
        <v>443</v>
      </c>
      <c r="C51" s="69" t="s">
        <v>523</v>
      </c>
      <c r="D51" s="69" t="s">
        <v>523</v>
      </c>
      <c r="E51" s="69" t="s">
        <v>523</v>
      </c>
      <c r="F51" s="69" t="s">
        <v>523</v>
      </c>
      <c r="G51" s="69"/>
      <c r="H51" s="69"/>
      <c r="I51" s="69"/>
      <c r="J51" s="68"/>
      <c r="K51" s="68"/>
      <c r="L51" s="68"/>
    </row>
    <row r="52" spans="1:12" ht="71.25" customHeight="1" x14ac:dyDescent="0.25">
      <c r="A52" s="71" t="s">
        <v>185</v>
      </c>
      <c r="B52" s="70" t="s">
        <v>186</v>
      </c>
      <c r="C52" s="69" t="s">
        <v>523</v>
      </c>
      <c r="D52" s="69" t="s">
        <v>523</v>
      </c>
      <c r="E52" s="69" t="s">
        <v>523</v>
      </c>
      <c r="F52" s="69" t="s">
        <v>523</v>
      </c>
      <c r="G52" s="69"/>
      <c r="H52" s="69"/>
      <c r="I52" s="69"/>
      <c r="J52" s="68"/>
      <c r="K52" s="68"/>
      <c r="L52" s="68"/>
    </row>
    <row r="53" spans="1:12" ht="94.5" x14ac:dyDescent="0.25">
      <c r="A53" s="71" t="s">
        <v>183</v>
      </c>
      <c r="B53" s="140" t="s">
        <v>444</v>
      </c>
      <c r="C53" s="231" t="s">
        <v>759</v>
      </c>
      <c r="D53" s="231" t="s">
        <v>760</v>
      </c>
      <c r="E53" s="231" t="s">
        <v>759</v>
      </c>
      <c r="F53" s="231" t="s">
        <v>760</v>
      </c>
      <c r="G53" s="231"/>
      <c r="H53" s="231"/>
      <c r="I53" s="69">
        <v>100</v>
      </c>
      <c r="J53" s="69"/>
      <c r="K53" s="68"/>
      <c r="L53" s="68"/>
    </row>
    <row r="54" spans="1:12" ht="46.5" customHeight="1" x14ac:dyDescent="0.25">
      <c r="A54" s="71" t="s">
        <v>445</v>
      </c>
      <c r="B54" s="70" t="s">
        <v>184</v>
      </c>
      <c r="C54" s="69" t="s">
        <v>523</v>
      </c>
      <c r="D54" s="69" t="s">
        <v>523</v>
      </c>
      <c r="E54" s="69" t="s">
        <v>523</v>
      </c>
      <c r="F54" s="69" t="s">
        <v>523</v>
      </c>
      <c r="G54" s="69"/>
      <c r="H54" s="69"/>
      <c r="I54" s="69"/>
      <c r="J54" s="68"/>
      <c r="K54" s="68"/>
      <c r="L54" s="6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7" sqref="J27"/>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6" width="19" style="55" customWidth="1"/>
    <col min="7" max="7" width="15.28515625" style="55" customWidth="1"/>
    <col min="8" max="9" width="9.42578125" style="55" customWidth="1"/>
    <col min="10" max="10" width="9.7109375" style="55" customWidth="1"/>
    <col min="11" max="19" width="9.42578125" style="55" customWidth="1"/>
    <col min="20" max="20" width="13.140625" style="55" customWidth="1"/>
    <col min="21" max="21" width="24.85546875" style="55" customWidth="1"/>
    <col min="22" max="16384" width="9.140625" style="55"/>
  </cols>
  <sheetData>
    <row r="1" spans="1:21" ht="18.75" x14ac:dyDescent="0.25">
      <c r="U1" s="235" t="s">
        <v>66</v>
      </c>
    </row>
    <row r="2" spans="1:21" ht="18.75" x14ac:dyDescent="0.3">
      <c r="U2" s="236" t="s">
        <v>8</v>
      </c>
    </row>
    <row r="3" spans="1:21" ht="18.75" x14ac:dyDescent="0.3">
      <c r="U3" s="236" t="s">
        <v>65</v>
      </c>
    </row>
    <row r="4" spans="1:21" ht="18.75" customHeight="1" x14ac:dyDescent="0.25">
      <c r="A4" s="435" t="str">
        <f>'1. паспорт местоположение'!A5:C5</f>
        <v>Год раскрытия информации: 2022 год</v>
      </c>
      <c r="B4" s="435"/>
      <c r="C4" s="435"/>
      <c r="D4" s="435"/>
      <c r="E4" s="435"/>
      <c r="F4" s="435"/>
      <c r="G4" s="435"/>
      <c r="H4" s="435"/>
      <c r="I4" s="435"/>
      <c r="J4" s="435"/>
      <c r="K4" s="435"/>
      <c r="L4" s="435"/>
      <c r="M4" s="435"/>
      <c r="N4" s="435"/>
      <c r="O4" s="435"/>
      <c r="P4" s="435"/>
      <c r="Q4" s="435"/>
      <c r="R4" s="435"/>
      <c r="S4" s="435"/>
      <c r="T4" s="435"/>
      <c r="U4" s="435"/>
    </row>
    <row r="5" spans="1:21" ht="18.75" x14ac:dyDescent="0.3">
      <c r="U5" s="236"/>
    </row>
    <row r="6" spans="1:21" ht="18.75" x14ac:dyDescent="0.25">
      <c r="A6" s="439" t="s">
        <v>7</v>
      </c>
      <c r="B6" s="439"/>
      <c r="C6" s="439"/>
      <c r="D6" s="439"/>
      <c r="E6" s="439"/>
      <c r="F6" s="439"/>
      <c r="G6" s="439"/>
      <c r="H6" s="439"/>
      <c r="I6" s="439"/>
      <c r="J6" s="439"/>
      <c r="K6" s="439"/>
      <c r="L6" s="439"/>
      <c r="M6" s="439"/>
      <c r="N6" s="439"/>
      <c r="O6" s="439"/>
      <c r="P6" s="439"/>
      <c r="Q6" s="439"/>
      <c r="R6" s="439"/>
      <c r="S6" s="439"/>
      <c r="T6" s="439"/>
      <c r="U6" s="439"/>
    </row>
    <row r="7" spans="1:21" ht="18.75" x14ac:dyDescent="0.25">
      <c r="A7" s="238"/>
      <c r="B7" s="238"/>
      <c r="C7" s="238"/>
      <c r="D7" s="238"/>
      <c r="E7" s="238"/>
      <c r="F7" s="238"/>
      <c r="G7" s="238"/>
      <c r="H7" s="238"/>
      <c r="I7" s="238"/>
      <c r="J7" s="238"/>
      <c r="K7" s="238"/>
      <c r="L7" s="238"/>
      <c r="M7" s="238"/>
      <c r="N7" s="238"/>
      <c r="O7" s="238"/>
      <c r="P7" s="238"/>
      <c r="Q7" s="238"/>
      <c r="R7" s="238"/>
      <c r="S7" s="238"/>
      <c r="T7" s="66"/>
      <c r="U7" s="66"/>
    </row>
    <row r="8" spans="1:21" x14ac:dyDescent="0.25">
      <c r="A8" s="512" t="str">
        <f>'1. паспорт местоположение'!A9:C9</f>
        <v>Акционерное общество "Янтарьэнерго" ДЗО  ПАО "Россети"</v>
      </c>
      <c r="B8" s="512"/>
      <c r="C8" s="512"/>
      <c r="D8" s="512"/>
      <c r="E8" s="512"/>
      <c r="F8" s="512"/>
      <c r="G8" s="512"/>
      <c r="H8" s="512"/>
      <c r="I8" s="512"/>
      <c r="J8" s="512"/>
      <c r="K8" s="512"/>
      <c r="L8" s="512"/>
      <c r="M8" s="512"/>
      <c r="N8" s="512"/>
      <c r="O8" s="512"/>
      <c r="P8" s="512"/>
      <c r="Q8" s="512"/>
      <c r="R8" s="512"/>
      <c r="S8" s="512"/>
      <c r="T8" s="512"/>
      <c r="U8" s="512"/>
    </row>
    <row r="9" spans="1:21" ht="18.75" customHeight="1" x14ac:dyDescent="0.25">
      <c r="A9" s="436" t="s">
        <v>6</v>
      </c>
      <c r="B9" s="436"/>
      <c r="C9" s="436"/>
      <c r="D9" s="436"/>
      <c r="E9" s="436"/>
      <c r="F9" s="436"/>
      <c r="G9" s="436"/>
      <c r="H9" s="436"/>
      <c r="I9" s="436"/>
      <c r="J9" s="436"/>
      <c r="K9" s="436"/>
      <c r="L9" s="436"/>
      <c r="M9" s="436"/>
      <c r="N9" s="436"/>
      <c r="O9" s="436"/>
      <c r="P9" s="436"/>
      <c r="Q9" s="436"/>
      <c r="R9" s="436"/>
      <c r="S9" s="436"/>
      <c r="T9" s="436"/>
      <c r="U9" s="436"/>
    </row>
    <row r="10" spans="1:21" ht="18.75" x14ac:dyDescent="0.25">
      <c r="A10" s="238"/>
      <c r="B10" s="238"/>
      <c r="C10" s="238"/>
      <c r="D10" s="238"/>
      <c r="E10" s="238"/>
      <c r="F10" s="238"/>
      <c r="G10" s="238"/>
      <c r="H10" s="238"/>
      <c r="I10" s="238"/>
      <c r="J10" s="238"/>
      <c r="K10" s="238"/>
      <c r="L10" s="238"/>
      <c r="M10" s="238"/>
      <c r="N10" s="238"/>
      <c r="O10" s="238"/>
      <c r="P10" s="238"/>
      <c r="Q10" s="238"/>
      <c r="R10" s="238"/>
      <c r="S10" s="238"/>
      <c r="T10" s="66"/>
      <c r="U10" s="66"/>
    </row>
    <row r="11" spans="1:21" x14ac:dyDescent="0.25">
      <c r="A11" s="512" t="str">
        <f>'1. паспорт местоположение'!A12:C12</f>
        <v>F_48-НН</v>
      </c>
      <c r="B11" s="512"/>
      <c r="C11" s="512"/>
      <c r="D11" s="512"/>
      <c r="E11" s="512"/>
      <c r="F11" s="512"/>
      <c r="G11" s="512"/>
      <c r="H11" s="512"/>
      <c r="I11" s="512"/>
      <c r="J11" s="512"/>
      <c r="K11" s="512"/>
      <c r="L11" s="512"/>
      <c r="M11" s="512"/>
      <c r="N11" s="512"/>
      <c r="O11" s="512"/>
      <c r="P11" s="512"/>
      <c r="Q11" s="512"/>
      <c r="R11" s="512"/>
      <c r="S11" s="512"/>
      <c r="T11" s="512"/>
      <c r="U11" s="512"/>
    </row>
    <row r="12" spans="1:21" x14ac:dyDescent="0.25">
      <c r="A12" s="436" t="s">
        <v>5</v>
      </c>
      <c r="B12" s="436"/>
      <c r="C12" s="436"/>
      <c r="D12" s="436"/>
      <c r="E12" s="436"/>
      <c r="F12" s="436"/>
      <c r="G12" s="436"/>
      <c r="H12" s="436"/>
      <c r="I12" s="436"/>
      <c r="J12" s="436"/>
      <c r="K12" s="436"/>
      <c r="L12" s="436"/>
      <c r="M12" s="436"/>
      <c r="N12" s="436"/>
      <c r="O12" s="436"/>
      <c r="P12" s="436"/>
      <c r="Q12" s="436"/>
      <c r="R12" s="436"/>
      <c r="S12" s="436"/>
      <c r="T12" s="436"/>
      <c r="U12" s="436"/>
    </row>
    <row r="13" spans="1:21" ht="16.5" customHeight="1" x14ac:dyDescent="0.3">
      <c r="A13" s="11"/>
      <c r="B13" s="11"/>
      <c r="C13" s="11"/>
      <c r="D13" s="11"/>
      <c r="E13" s="11"/>
      <c r="F13" s="11"/>
      <c r="G13" s="11"/>
      <c r="H13" s="11"/>
      <c r="I13" s="11"/>
      <c r="J13" s="11"/>
      <c r="K13" s="11"/>
      <c r="L13" s="11"/>
      <c r="M13" s="11"/>
      <c r="N13" s="11"/>
      <c r="O13" s="11"/>
      <c r="P13" s="11"/>
      <c r="Q13" s="11"/>
      <c r="R13" s="11"/>
      <c r="S13" s="11"/>
      <c r="T13" s="65"/>
      <c r="U13" s="65"/>
    </row>
    <row r="14" spans="1:21" x14ac:dyDescent="0.25">
      <c r="A14" s="512" t="str">
        <f>'1. паспорт местоположение'!A15</f>
        <v>Организация интеллектуальной системы учета электроэнергии (приобретение компонентов интеллектуальной системы учета, выполнение проектных, строительно-монтажных и пусконаладочных работ по модернизации / созданию интеллектуальной системы учета электроэнергии)</v>
      </c>
      <c r="B14" s="512"/>
      <c r="C14" s="512"/>
      <c r="D14" s="512"/>
      <c r="E14" s="512"/>
      <c r="F14" s="512"/>
      <c r="G14" s="512"/>
      <c r="H14" s="512"/>
      <c r="I14" s="512"/>
      <c r="J14" s="512"/>
      <c r="K14" s="512"/>
      <c r="L14" s="512"/>
      <c r="M14" s="512"/>
      <c r="N14" s="512"/>
      <c r="O14" s="512"/>
      <c r="P14" s="512"/>
      <c r="Q14" s="512"/>
      <c r="R14" s="512"/>
      <c r="S14" s="512"/>
      <c r="T14" s="512"/>
      <c r="U14" s="512"/>
    </row>
    <row r="15" spans="1:21" ht="15.75" customHeight="1" x14ac:dyDescent="0.25">
      <c r="A15" s="436" t="s">
        <v>4</v>
      </c>
      <c r="B15" s="436"/>
      <c r="C15" s="436"/>
      <c r="D15" s="436"/>
      <c r="E15" s="436"/>
      <c r="F15" s="436"/>
      <c r="G15" s="436"/>
      <c r="H15" s="436"/>
      <c r="I15" s="436"/>
      <c r="J15" s="436"/>
      <c r="K15" s="436"/>
      <c r="L15" s="436"/>
      <c r="M15" s="436"/>
      <c r="N15" s="436"/>
      <c r="O15" s="436"/>
      <c r="P15" s="436"/>
      <c r="Q15" s="436"/>
      <c r="R15" s="436"/>
      <c r="S15" s="436"/>
      <c r="T15" s="436"/>
      <c r="U15" s="436"/>
    </row>
    <row r="16" spans="1:21" x14ac:dyDescent="0.25">
      <c r="A16" s="524"/>
      <c r="B16" s="524"/>
      <c r="C16" s="524"/>
      <c r="D16" s="524"/>
      <c r="E16" s="524"/>
      <c r="F16" s="524"/>
      <c r="G16" s="524"/>
      <c r="H16" s="524"/>
      <c r="I16" s="524"/>
      <c r="J16" s="524"/>
      <c r="K16" s="524"/>
      <c r="L16" s="524"/>
      <c r="M16" s="524"/>
      <c r="N16" s="524"/>
      <c r="O16" s="524"/>
      <c r="P16" s="524"/>
      <c r="Q16" s="524"/>
      <c r="R16" s="524"/>
      <c r="S16" s="524"/>
      <c r="T16" s="524"/>
      <c r="U16" s="524"/>
    </row>
    <row r="18" spans="1:24" x14ac:dyDescent="0.25">
      <c r="A18" s="525" t="s">
        <v>489</v>
      </c>
      <c r="B18" s="525"/>
      <c r="C18" s="525"/>
      <c r="D18" s="525"/>
      <c r="E18" s="525"/>
      <c r="F18" s="525"/>
      <c r="G18" s="525"/>
      <c r="H18" s="525"/>
      <c r="I18" s="525"/>
      <c r="J18" s="525"/>
      <c r="K18" s="525"/>
      <c r="L18" s="525"/>
      <c r="M18" s="525"/>
      <c r="N18" s="525"/>
      <c r="O18" s="525"/>
      <c r="P18" s="525"/>
      <c r="Q18" s="525"/>
      <c r="R18" s="525"/>
      <c r="S18" s="525"/>
      <c r="T18" s="525"/>
      <c r="U18" s="525"/>
    </row>
    <row r="20" spans="1:24" ht="33" customHeight="1" x14ac:dyDescent="0.25">
      <c r="A20" s="516" t="s">
        <v>182</v>
      </c>
      <c r="B20" s="516" t="s">
        <v>181</v>
      </c>
      <c r="C20" s="518" t="s">
        <v>180</v>
      </c>
      <c r="D20" s="518"/>
      <c r="E20" s="519" t="s">
        <v>179</v>
      </c>
      <c r="F20" s="519"/>
      <c r="G20" s="520" t="s">
        <v>745</v>
      </c>
      <c r="H20" s="527" t="s">
        <v>746</v>
      </c>
      <c r="I20" s="528"/>
      <c r="J20" s="528"/>
      <c r="K20" s="529"/>
      <c r="L20" s="527" t="s">
        <v>747</v>
      </c>
      <c r="M20" s="528"/>
      <c r="N20" s="528"/>
      <c r="O20" s="528"/>
      <c r="P20" s="527" t="s">
        <v>748</v>
      </c>
      <c r="Q20" s="528"/>
      <c r="R20" s="528"/>
      <c r="S20" s="528"/>
      <c r="T20" s="526" t="s">
        <v>178</v>
      </c>
      <c r="U20" s="526"/>
      <c r="V20" s="361"/>
      <c r="W20" s="361"/>
      <c r="X20" s="361"/>
    </row>
    <row r="21" spans="1:24" ht="99.75" customHeight="1" x14ac:dyDescent="0.25">
      <c r="A21" s="517"/>
      <c r="B21" s="517"/>
      <c r="C21" s="518"/>
      <c r="D21" s="518"/>
      <c r="E21" s="519"/>
      <c r="F21" s="519"/>
      <c r="G21" s="521"/>
      <c r="H21" s="530" t="s">
        <v>2</v>
      </c>
      <c r="I21" s="530"/>
      <c r="J21" s="518" t="s">
        <v>9</v>
      </c>
      <c r="K21" s="530"/>
      <c r="L21" s="530" t="s">
        <v>2</v>
      </c>
      <c r="M21" s="530"/>
      <c r="N21" s="518" t="s">
        <v>9</v>
      </c>
      <c r="O21" s="530"/>
      <c r="P21" s="530" t="s">
        <v>2</v>
      </c>
      <c r="Q21" s="530"/>
      <c r="R21" s="518" t="s">
        <v>9</v>
      </c>
      <c r="S21" s="530"/>
      <c r="T21" s="526"/>
      <c r="U21" s="526"/>
    </row>
    <row r="22" spans="1:24" ht="89.25" customHeight="1" x14ac:dyDescent="0.25">
      <c r="A22" s="508"/>
      <c r="B22" s="508"/>
      <c r="C22" s="356" t="s">
        <v>2</v>
      </c>
      <c r="D22" s="356" t="s">
        <v>546</v>
      </c>
      <c r="E22" s="278" t="s">
        <v>749</v>
      </c>
      <c r="F22" s="278" t="s">
        <v>750</v>
      </c>
      <c r="G22" s="522"/>
      <c r="H22" s="362" t="s">
        <v>470</v>
      </c>
      <c r="I22" s="362" t="s">
        <v>471</v>
      </c>
      <c r="J22" s="362" t="s">
        <v>470</v>
      </c>
      <c r="K22" s="362" t="s">
        <v>471</v>
      </c>
      <c r="L22" s="362" t="s">
        <v>470</v>
      </c>
      <c r="M22" s="362" t="s">
        <v>471</v>
      </c>
      <c r="N22" s="362" t="s">
        <v>470</v>
      </c>
      <c r="O22" s="362" t="s">
        <v>471</v>
      </c>
      <c r="P22" s="362" t="s">
        <v>470</v>
      </c>
      <c r="Q22" s="362" t="s">
        <v>471</v>
      </c>
      <c r="R22" s="362" t="s">
        <v>470</v>
      </c>
      <c r="S22" s="362" t="s">
        <v>471</v>
      </c>
      <c r="T22" s="356" t="s">
        <v>2</v>
      </c>
      <c r="U22" s="356" t="s">
        <v>9</v>
      </c>
    </row>
    <row r="23" spans="1:24" ht="19.5" customHeight="1" x14ac:dyDescent="0.25">
      <c r="A23" s="363">
        <v>1</v>
      </c>
      <c r="B23" s="363">
        <v>2</v>
      </c>
      <c r="C23" s="363">
        <v>3</v>
      </c>
      <c r="D23" s="363">
        <v>4</v>
      </c>
      <c r="E23" s="363">
        <v>5</v>
      </c>
      <c r="F23" s="363">
        <v>6</v>
      </c>
      <c r="G23" s="363">
        <v>7</v>
      </c>
      <c r="H23" s="363">
        <v>8</v>
      </c>
      <c r="I23" s="363">
        <v>9</v>
      </c>
      <c r="J23" s="363">
        <v>10</v>
      </c>
      <c r="K23" s="363">
        <v>11</v>
      </c>
      <c r="L23" s="363">
        <v>12</v>
      </c>
      <c r="M23" s="363">
        <v>13</v>
      </c>
      <c r="N23" s="363">
        <v>14</v>
      </c>
      <c r="O23" s="363">
        <v>15</v>
      </c>
      <c r="P23" s="363">
        <v>16</v>
      </c>
      <c r="Q23" s="363">
        <v>17</v>
      </c>
      <c r="R23" s="363">
        <v>18</v>
      </c>
      <c r="S23" s="363">
        <v>19</v>
      </c>
      <c r="T23" s="363">
        <v>20</v>
      </c>
      <c r="U23" s="363">
        <v>21</v>
      </c>
    </row>
    <row r="24" spans="1:24" ht="47.25" customHeight="1" x14ac:dyDescent="0.25">
      <c r="A24" s="364">
        <v>1</v>
      </c>
      <c r="B24" s="365" t="s">
        <v>177</v>
      </c>
      <c r="C24" s="366">
        <f t="shared" ref="C24:S24" si="0">SUM(C25:C29)</f>
        <v>275.14590664000002</v>
      </c>
      <c r="D24" s="366">
        <f t="shared" si="0"/>
        <v>0</v>
      </c>
      <c r="E24" s="366">
        <f t="shared" si="0"/>
        <v>155.74743042</v>
      </c>
      <c r="F24" s="366">
        <f t="shared" si="0"/>
        <v>95.697780510000001</v>
      </c>
      <c r="G24" s="366">
        <f t="shared" si="0"/>
        <v>60.049649909999999</v>
      </c>
      <c r="H24" s="366">
        <f t="shared" si="0"/>
        <v>95.697780629999997</v>
      </c>
      <c r="I24" s="366">
        <f t="shared" si="0"/>
        <v>0</v>
      </c>
      <c r="J24" s="366">
        <f t="shared" si="0"/>
        <v>95.697780629999997</v>
      </c>
      <c r="K24" s="366">
        <f t="shared" si="0"/>
        <v>0</v>
      </c>
      <c r="L24" s="366">
        <f t="shared" si="0"/>
        <v>0</v>
      </c>
      <c r="M24" s="366">
        <f t="shared" si="0"/>
        <v>0</v>
      </c>
      <c r="N24" s="366">
        <f t="shared" si="0"/>
        <v>0</v>
      </c>
      <c r="O24" s="366">
        <f t="shared" si="0"/>
        <v>0</v>
      </c>
      <c r="P24" s="366">
        <f t="shared" si="0"/>
        <v>0</v>
      </c>
      <c r="Q24" s="366">
        <f t="shared" si="0"/>
        <v>0</v>
      </c>
      <c r="R24" s="366">
        <f t="shared" si="0"/>
        <v>0</v>
      </c>
      <c r="S24" s="366">
        <f t="shared" si="0"/>
        <v>0</v>
      </c>
      <c r="T24" s="367">
        <f>H24+L24+P24</f>
        <v>95.697780629999997</v>
      </c>
      <c r="U24" s="367">
        <f>J24+N24+R24</f>
        <v>95.697780629999997</v>
      </c>
    </row>
    <row r="25" spans="1:24" ht="24" customHeight="1" x14ac:dyDescent="0.25">
      <c r="A25" s="368" t="s">
        <v>176</v>
      </c>
      <c r="B25" s="369" t="s">
        <v>175</v>
      </c>
      <c r="C25" s="370">
        <v>0</v>
      </c>
      <c r="D25" s="370">
        <v>0</v>
      </c>
      <c r="E25" s="367">
        <f t="shared" ref="E25:E49" si="1">G25+H25</f>
        <v>0</v>
      </c>
      <c r="F25" s="367">
        <f>E25-G25</f>
        <v>0</v>
      </c>
      <c r="G25" s="371">
        <v>0</v>
      </c>
      <c r="H25" s="371">
        <v>0</v>
      </c>
      <c r="I25" s="371">
        <v>0</v>
      </c>
      <c r="J25" s="371">
        <v>0</v>
      </c>
      <c r="K25" s="371">
        <v>0</v>
      </c>
      <c r="L25" s="371">
        <v>0</v>
      </c>
      <c r="M25" s="371">
        <v>0</v>
      </c>
      <c r="N25" s="371">
        <v>0</v>
      </c>
      <c r="O25" s="371">
        <v>0</v>
      </c>
      <c r="P25" s="371">
        <v>0</v>
      </c>
      <c r="Q25" s="371">
        <v>0</v>
      </c>
      <c r="R25" s="371">
        <v>0</v>
      </c>
      <c r="S25" s="371">
        <v>0</v>
      </c>
      <c r="T25" s="367">
        <f t="shared" ref="T25:T64" si="2">H25+L25+P25</f>
        <v>0</v>
      </c>
      <c r="U25" s="367">
        <f t="shared" ref="U25:U64" si="3">J25+N25+R25</f>
        <v>0</v>
      </c>
    </row>
    <row r="26" spans="1:24" x14ac:dyDescent="0.25">
      <c r="A26" s="368" t="s">
        <v>174</v>
      </c>
      <c r="B26" s="369" t="s">
        <v>173</v>
      </c>
      <c r="C26" s="370">
        <v>0</v>
      </c>
      <c r="D26" s="370">
        <v>0</v>
      </c>
      <c r="E26" s="367">
        <f t="shared" si="1"/>
        <v>0</v>
      </c>
      <c r="F26" s="367">
        <f t="shared" ref="F26:F56" si="4">E26-G26</f>
        <v>0</v>
      </c>
      <c r="G26" s="371">
        <v>0</v>
      </c>
      <c r="H26" s="371">
        <v>0</v>
      </c>
      <c r="I26" s="371">
        <v>0</v>
      </c>
      <c r="J26" s="371">
        <v>0</v>
      </c>
      <c r="K26" s="371">
        <v>0</v>
      </c>
      <c r="L26" s="371">
        <v>0</v>
      </c>
      <c r="M26" s="371">
        <v>0</v>
      </c>
      <c r="N26" s="371">
        <v>0</v>
      </c>
      <c r="O26" s="371">
        <v>0</v>
      </c>
      <c r="P26" s="371">
        <v>0</v>
      </c>
      <c r="Q26" s="371">
        <v>0</v>
      </c>
      <c r="R26" s="371">
        <v>0</v>
      </c>
      <c r="S26" s="371">
        <v>0</v>
      </c>
      <c r="T26" s="367">
        <f t="shared" si="2"/>
        <v>0</v>
      </c>
      <c r="U26" s="367">
        <f t="shared" si="3"/>
        <v>0</v>
      </c>
    </row>
    <row r="27" spans="1:24" ht="31.5" x14ac:dyDescent="0.25">
      <c r="A27" s="368" t="s">
        <v>172</v>
      </c>
      <c r="B27" s="369" t="s">
        <v>426</v>
      </c>
      <c r="C27" s="370">
        <v>275.14590664000002</v>
      </c>
      <c r="D27" s="370">
        <v>0</v>
      </c>
      <c r="E27" s="367">
        <f>C27-119.39847622</f>
        <v>155.74743042</v>
      </c>
      <c r="F27" s="367">
        <f t="shared" si="4"/>
        <v>95.697780510000001</v>
      </c>
      <c r="G27" s="371">
        <v>60.049649909999999</v>
      </c>
      <c r="H27" s="371">
        <v>95.697780629999997</v>
      </c>
      <c r="I27" s="371">
        <v>0</v>
      </c>
      <c r="J27" s="371">
        <v>95.697780629999997</v>
      </c>
      <c r="K27" s="371">
        <v>0</v>
      </c>
      <c r="L27" s="371">
        <v>0</v>
      </c>
      <c r="M27" s="371">
        <v>0</v>
      </c>
      <c r="N27" s="371">
        <v>0</v>
      </c>
      <c r="O27" s="371">
        <v>0</v>
      </c>
      <c r="P27" s="371">
        <v>0</v>
      </c>
      <c r="Q27" s="371">
        <v>0</v>
      </c>
      <c r="R27" s="371">
        <v>0</v>
      </c>
      <c r="S27" s="371">
        <v>0</v>
      </c>
      <c r="T27" s="367">
        <f t="shared" si="2"/>
        <v>95.697780629999997</v>
      </c>
      <c r="U27" s="367">
        <f t="shared" si="3"/>
        <v>95.697780629999997</v>
      </c>
    </row>
    <row r="28" spans="1:24" x14ac:dyDescent="0.25">
      <c r="A28" s="368" t="s">
        <v>171</v>
      </c>
      <c r="B28" s="369" t="s">
        <v>751</v>
      </c>
      <c r="C28" s="370">
        <v>0</v>
      </c>
      <c r="D28" s="370">
        <v>0</v>
      </c>
      <c r="E28" s="367">
        <f t="shared" si="1"/>
        <v>0</v>
      </c>
      <c r="F28" s="367">
        <f t="shared" si="4"/>
        <v>0</v>
      </c>
      <c r="G28" s="371">
        <v>0</v>
      </c>
      <c r="H28" s="371">
        <v>0</v>
      </c>
      <c r="I28" s="371">
        <v>0</v>
      </c>
      <c r="J28" s="371">
        <v>0</v>
      </c>
      <c r="K28" s="371">
        <v>0</v>
      </c>
      <c r="L28" s="371">
        <v>0</v>
      </c>
      <c r="M28" s="371">
        <v>0</v>
      </c>
      <c r="N28" s="371">
        <v>0</v>
      </c>
      <c r="O28" s="371">
        <v>0</v>
      </c>
      <c r="P28" s="371">
        <v>0</v>
      </c>
      <c r="Q28" s="371">
        <v>0</v>
      </c>
      <c r="R28" s="371">
        <v>0</v>
      </c>
      <c r="S28" s="371">
        <v>0</v>
      </c>
      <c r="T28" s="367">
        <f t="shared" si="2"/>
        <v>0</v>
      </c>
      <c r="U28" s="367">
        <f t="shared" si="3"/>
        <v>0</v>
      </c>
    </row>
    <row r="29" spans="1:24" x14ac:dyDescent="0.25">
      <c r="A29" s="368" t="s">
        <v>170</v>
      </c>
      <c r="B29" s="64" t="s">
        <v>169</v>
      </c>
      <c r="C29" s="370">
        <v>0</v>
      </c>
      <c r="D29" s="370">
        <v>0</v>
      </c>
      <c r="E29" s="367">
        <f t="shared" si="1"/>
        <v>0</v>
      </c>
      <c r="F29" s="367">
        <f t="shared" si="4"/>
        <v>0</v>
      </c>
      <c r="G29" s="371">
        <v>0</v>
      </c>
      <c r="H29" s="371">
        <v>0</v>
      </c>
      <c r="I29" s="371">
        <v>0</v>
      </c>
      <c r="J29" s="371">
        <v>0</v>
      </c>
      <c r="K29" s="371">
        <v>0</v>
      </c>
      <c r="L29" s="371">
        <v>0</v>
      </c>
      <c r="M29" s="371">
        <v>0</v>
      </c>
      <c r="N29" s="371">
        <v>0</v>
      </c>
      <c r="O29" s="371">
        <v>0</v>
      </c>
      <c r="P29" s="371">
        <v>0</v>
      </c>
      <c r="Q29" s="371">
        <v>0</v>
      </c>
      <c r="R29" s="371">
        <v>0</v>
      </c>
      <c r="S29" s="371">
        <v>0</v>
      </c>
      <c r="T29" s="367">
        <f t="shared" si="2"/>
        <v>0</v>
      </c>
      <c r="U29" s="367">
        <f t="shared" si="3"/>
        <v>0</v>
      </c>
    </row>
    <row r="30" spans="1:24" ht="47.25" x14ac:dyDescent="0.25">
      <c r="A30" s="364" t="s">
        <v>61</v>
      </c>
      <c r="B30" s="365" t="s">
        <v>168</v>
      </c>
      <c r="C30" s="370">
        <f t="shared" ref="C30:S30" si="5">SUM(C31:C34)</f>
        <v>230.85360118</v>
      </c>
      <c r="D30" s="370">
        <f t="shared" si="5"/>
        <v>0</v>
      </c>
      <c r="E30" s="370">
        <f>G30+H30</f>
        <v>96.867404880000009</v>
      </c>
      <c r="F30" s="370">
        <f t="shared" si="5"/>
        <v>0</v>
      </c>
      <c r="G30" s="370">
        <f t="shared" si="5"/>
        <v>96.867404880000009</v>
      </c>
      <c r="H30" s="370">
        <f t="shared" si="5"/>
        <v>0</v>
      </c>
      <c r="I30" s="370">
        <f t="shared" si="5"/>
        <v>0</v>
      </c>
      <c r="J30" s="370">
        <f t="shared" si="5"/>
        <v>0</v>
      </c>
      <c r="K30" s="370">
        <f t="shared" si="5"/>
        <v>0</v>
      </c>
      <c r="L30" s="370">
        <f t="shared" si="5"/>
        <v>0</v>
      </c>
      <c r="M30" s="370">
        <f t="shared" si="5"/>
        <v>0</v>
      </c>
      <c r="N30" s="370">
        <f t="shared" si="5"/>
        <v>0</v>
      </c>
      <c r="O30" s="370">
        <f t="shared" si="5"/>
        <v>0</v>
      </c>
      <c r="P30" s="370">
        <f t="shared" si="5"/>
        <v>0</v>
      </c>
      <c r="Q30" s="370">
        <f t="shared" si="5"/>
        <v>0</v>
      </c>
      <c r="R30" s="370">
        <f t="shared" si="5"/>
        <v>0</v>
      </c>
      <c r="S30" s="370">
        <f t="shared" si="5"/>
        <v>0</v>
      </c>
      <c r="T30" s="367">
        <f t="shared" si="2"/>
        <v>0</v>
      </c>
      <c r="U30" s="367">
        <f t="shared" si="3"/>
        <v>0</v>
      </c>
    </row>
    <row r="31" spans="1:24" x14ac:dyDescent="0.25">
      <c r="A31" s="364" t="s">
        <v>167</v>
      </c>
      <c r="B31" s="369" t="s">
        <v>166</v>
      </c>
      <c r="C31" s="370">
        <v>6.64068463</v>
      </c>
      <c r="D31" s="370">
        <v>0</v>
      </c>
      <c r="E31" s="367">
        <f t="shared" si="1"/>
        <v>1.7716666699999999</v>
      </c>
      <c r="F31" s="367">
        <f t="shared" si="4"/>
        <v>0</v>
      </c>
      <c r="G31" s="371">
        <v>1.7716666699999999</v>
      </c>
      <c r="H31" s="371">
        <v>0</v>
      </c>
      <c r="I31" s="371">
        <v>0</v>
      </c>
      <c r="J31" s="371">
        <v>0</v>
      </c>
      <c r="K31" s="371">
        <v>0</v>
      </c>
      <c r="L31" s="371">
        <v>0</v>
      </c>
      <c r="M31" s="371">
        <v>0</v>
      </c>
      <c r="N31" s="371">
        <v>0</v>
      </c>
      <c r="O31" s="371">
        <v>0</v>
      </c>
      <c r="P31" s="371">
        <v>0</v>
      </c>
      <c r="Q31" s="371">
        <v>0</v>
      </c>
      <c r="R31" s="371">
        <v>0</v>
      </c>
      <c r="S31" s="371">
        <v>0</v>
      </c>
      <c r="T31" s="367">
        <f t="shared" si="2"/>
        <v>0</v>
      </c>
      <c r="U31" s="367">
        <f t="shared" si="3"/>
        <v>0</v>
      </c>
    </row>
    <row r="32" spans="1:24" ht="31.5" x14ac:dyDescent="0.25">
      <c r="A32" s="364" t="s">
        <v>165</v>
      </c>
      <c r="B32" s="369" t="s">
        <v>164</v>
      </c>
      <c r="C32" s="370">
        <v>67.254056130000009</v>
      </c>
      <c r="D32" s="370">
        <v>0</v>
      </c>
      <c r="E32" s="367">
        <f t="shared" si="1"/>
        <v>24.003136420000001</v>
      </c>
      <c r="F32" s="367">
        <f t="shared" si="4"/>
        <v>0</v>
      </c>
      <c r="G32" s="371">
        <v>24.003136420000001</v>
      </c>
      <c r="H32" s="371">
        <v>0</v>
      </c>
      <c r="I32" s="371">
        <v>0</v>
      </c>
      <c r="J32" s="371">
        <v>0</v>
      </c>
      <c r="K32" s="371">
        <v>0</v>
      </c>
      <c r="L32" s="371">
        <v>0</v>
      </c>
      <c r="M32" s="371">
        <v>0</v>
      </c>
      <c r="N32" s="371">
        <v>0</v>
      </c>
      <c r="O32" s="371">
        <v>0</v>
      </c>
      <c r="P32" s="371">
        <v>0</v>
      </c>
      <c r="Q32" s="371">
        <v>0</v>
      </c>
      <c r="R32" s="371">
        <v>0</v>
      </c>
      <c r="S32" s="371">
        <v>0</v>
      </c>
      <c r="T32" s="367">
        <f t="shared" si="2"/>
        <v>0</v>
      </c>
      <c r="U32" s="367">
        <f t="shared" si="3"/>
        <v>0</v>
      </c>
    </row>
    <row r="33" spans="1:21" x14ac:dyDescent="0.25">
      <c r="A33" s="364" t="s">
        <v>163</v>
      </c>
      <c r="B33" s="369" t="s">
        <v>162</v>
      </c>
      <c r="C33" s="370">
        <v>107.86873949999999</v>
      </c>
      <c r="D33" s="370">
        <v>0</v>
      </c>
      <c r="E33" s="367">
        <f t="shared" si="1"/>
        <v>50.098275610000009</v>
      </c>
      <c r="F33" s="367">
        <f t="shared" si="4"/>
        <v>0</v>
      </c>
      <c r="G33" s="371">
        <v>50.098275610000009</v>
      </c>
      <c r="H33" s="371">
        <v>0</v>
      </c>
      <c r="I33" s="371">
        <v>0</v>
      </c>
      <c r="J33" s="371">
        <v>0</v>
      </c>
      <c r="K33" s="371">
        <v>0</v>
      </c>
      <c r="L33" s="371">
        <v>0</v>
      </c>
      <c r="M33" s="371">
        <v>0</v>
      </c>
      <c r="N33" s="371">
        <v>0</v>
      </c>
      <c r="O33" s="371">
        <v>0</v>
      </c>
      <c r="P33" s="371">
        <v>0</v>
      </c>
      <c r="Q33" s="371">
        <v>0</v>
      </c>
      <c r="R33" s="371">
        <v>0</v>
      </c>
      <c r="S33" s="371">
        <v>0</v>
      </c>
      <c r="T33" s="367">
        <f t="shared" si="2"/>
        <v>0</v>
      </c>
      <c r="U33" s="367">
        <f t="shared" si="3"/>
        <v>0</v>
      </c>
    </row>
    <row r="34" spans="1:21" x14ac:dyDescent="0.25">
      <c r="A34" s="364" t="s">
        <v>161</v>
      </c>
      <c r="B34" s="369" t="s">
        <v>160</v>
      </c>
      <c r="C34" s="370">
        <v>49.090120920000004</v>
      </c>
      <c r="D34" s="370">
        <v>0</v>
      </c>
      <c r="E34" s="367">
        <f t="shared" si="1"/>
        <v>20.994326179999998</v>
      </c>
      <c r="F34" s="367">
        <f t="shared" si="4"/>
        <v>0</v>
      </c>
      <c r="G34" s="371">
        <v>20.994326179999998</v>
      </c>
      <c r="H34" s="371">
        <v>0</v>
      </c>
      <c r="I34" s="371">
        <v>0</v>
      </c>
      <c r="J34" s="371">
        <v>0</v>
      </c>
      <c r="K34" s="371">
        <v>0</v>
      </c>
      <c r="L34" s="371">
        <v>0</v>
      </c>
      <c r="M34" s="371">
        <v>0</v>
      </c>
      <c r="N34" s="371">
        <v>0</v>
      </c>
      <c r="O34" s="371">
        <v>0</v>
      </c>
      <c r="P34" s="371">
        <v>0</v>
      </c>
      <c r="Q34" s="371">
        <v>0</v>
      </c>
      <c r="R34" s="371">
        <v>0</v>
      </c>
      <c r="S34" s="371">
        <v>0</v>
      </c>
      <c r="T34" s="367">
        <f t="shared" si="2"/>
        <v>0</v>
      </c>
      <c r="U34" s="367">
        <f t="shared" si="3"/>
        <v>0</v>
      </c>
    </row>
    <row r="35" spans="1:21" ht="31.5" x14ac:dyDescent="0.25">
      <c r="A35" s="364" t="s">
        <v>60</v>
      </c>
      <c r="B35" s="365" t="s">
        <v>159</v>
      </c>
      <c r="C35" s="370">
        <v>0</v>
      </c>
      <c r="D35" s="370">
        <v>0</v>
      </c>
      <c r="E35" s="367">
        <f t="shared" si="1"/>
        <v>0</v>
      </c>
      <c r="F35" s="367">
        <f t="shared" si="4"/>
        <v>0</v>
      </c>
      <c r="G35" s="370">
        <v>0</v>
      </c>
      <c r="H35" s="370">
        <v>0</v>
      </c>
      <c r="I35" s="370">
        <v>0</v>
      </c>
      <c r="J35" s="370">
        <v>0</v>
      </c>
      <c r="K35" s="370">
        <v>0</v>
      </c>
      <c r="L35" s="370">
        <v>0</v>
      </c>
      <c r="M35" s="370">
        <v>0</v>
      </c>
      <c r="N35" s="370">
        <v>0</v>
      </c>
      <c r="O35" s="370">
        <v>0</v>
      </c>
      <c r="P35" s="370">
        <v>0</v>
      </c>
      <c r="Q35" s="370">
        <v>0</v>
      </c>
      <c r="R35" s="370">
        <v>0</v>
      </c>
      <c r="S35" s="370">
        <v>0</v>
      </c>
      <c r="T35" s="367">
        <f t="shared" si="2"/>
        <v>0</v>
      </c>
      <c r="U35" s="367">
        <f t="shared" si="3"/>
        <v>0</v>
      </c>
    </row>
    <row r="36" spans="1:21" ht="31.5" x14ac:dyDescent="0.25">
      <c r="A36" s="368" t="s">
        <v>158</v>
      </c>
      <c r="B36" s="372" t="s">
        <v>157</v>
      </c>
      <c r="C36" s="370">
        <v>0</v>
      </c>
      <c r="D36" s="370">
        <v>0</v>
      </c>
      <c r="E36" s="367">
        <f t="shared" si="1"/>
        <v>0</v>
      </c>
      <c r="F36" s="367">
        <f t="shared" si="4"/>
        <v>0</v>
      </c>
      <c r="G36" s="371">
        <v>0</v>
      </c>
      <c r="H36" s="371">
        <v>0</v>
      </c>
      <c r="I36" s="371">
        <v>0</v>
      </c>
      <c r="J36" s="371">
        <v>0</v>
      </c>
      <c r="K36" s="371">
        <v>0</v>
      </c>
      <c r="L36" s="371">
        <v>0</v>
      </c>
      <c r="M36" s="371">
        <v>0</v>
      </c>
      <c r="N36" s="371">
        <v>0</v>
      </c>
      <c r="O36" s="371">
        <v>0</v>
      </c>
      <c r="P36" s="371">
        <v>0</v>
      </c>
      <c r="Q36" s="371">
        <v>0</v>
      </c>
      <c r="R36" s="371">
        <v>0</v>
      </c>
      <c r="S36" s="371">
        <v>0</v>
      </c>
      <c r="T36" s="367">
        <f t="shared" si="2"/>
        <v>0</v>
      </c>
      <c r="U36" s="367">
        <f t="shared" si="3"/>
        <v>0</v>
      </c>
    </row>
    <row r="37" spans="1:21" x14ac:dyDescent="0.25">
      <c r="A37" s="368" t="s">
        <v>156</v>
      </c>
      <c r="B37" s="372" t="s">
        <v>146</v>
      </c>
      <c r="C37" s="370">
        <v>0</v>
      </c>
      <c r="D37" s="370">
        <v>0</v>
      </c>
      <c r="E37" s="367">
        <f t="shared" si="1"/>
        <v>0</v>
      </c>
      <c r="F37" s="367">
        <f t="shared" si="4"/>
        <v>0</v>
      </c>
      <c r="G37" s="371">
        <v>0</v>
      </c>
      <c r="H37" s="371">
        <v>0</v>
      </c>
      <c r="I37" s="371">
        <v>0</v>
      </c>
      <c r="J37" s="371">
        <v>0</v>
      </c>
      <c r="K37" s="371">
        <v>0</v>
      </c>
      <c r="L37" s="371">
        <v>0</v>
      </c>
      <c r="M37" s="371">
        <v>0</v>
      </c>
      <c r="N37" s="371">
        <v>0</v>
      </c>
      <c r="O37" s="371">
        <v>0</v>
      </c>
      <c r="P37" s="371">
        <v>0</v>
      </c>
      <c r="Q37" s="371">
        <v>0</v>
      </c>
      <c r="R37" s="371">
        <v>0</v>
      </c>
      <c r="S37" s="371">
        <v>0</v>
      </c>
      <c r="T37" s="367">
        <f t="shared" si="2"/>
        <v>0</v>
      </c>
      <c r="U37" s="367">
        <f t="shared" si="3"/>
        <v>0</v>
      </c>
    </row>
    <row r="38" spans="1:21" x14ac:dyDescent="0.25">
      <c r="A38" s="368" t="s">
        <v>155</v>
      </c>
      <c r="B38" s="372" t="s">
        <v>144</v>
      </c>
      <c r="C38" s="370">
        <v>0</v>
      </c>
      <c r="D38" s="370">
        <v>0</v>
      </c>
      <c r="E38" s="367">
        <f t="shared" si="1"/>
        <v>0</v>
      </c>
      <c r="F38" s="367">
        <f t="shared" si="4"/>
        <v>0</v>
      </c>
      <c r="G38" s="371">
        <v>0</v>
      </c>
      <c r="H38" s="371">
        <v>0</v>
      </c>
      <c r="I38" s="371">
        <v>0</v>
      </c>
      <c r="J38" s="371">
        <v>0</v>
      </c>
      <c r="K38" s="371">
        <v>0</v>
      </c>
      <c r="L38" s="371">
        <v>0</v>
      </c>
      <c r="M38" s="371">
        <v>0</v>
      </c>
      <c r="N38" s="371">
        <v>0</v>
      </c>
      <c r="O38" s="371">
        <v>0</v>
      </c>
      <c r="P38" s="371">
        <v>0</v>
      </c>
      <c r="Q38" s="371">
        <v>0</v>
      </c>
      <c r="R38" s="371">
        <v>0</v>
      </c>
      <c r="S38" s="371">
        <v>0</v>
      </c>
      <c r="T38" s="367">
        <f t="shared" si="2"/>
        <v>0</v>
      </c>
      <c r="U38" s="367">
        <f t="shared" si="3"/>
        <v>0</v>
      </c>
    </row>
    <row r="39" spans="1:21" ht="31.5" x14ac:dyDescent="0.25">
      <c r="A39" s="368" t="s">
        <v>154</v>
      </c>
      <c r="B39" s="369" t="s">
        <v>142</v>
      </c>
      <c r="C39" s="370">
        <v>0</v>
      </c>
      <c r="D39" s="370">
        <v>0</v>
      </c>
      <c r="E39" s="367">
        <f t="shared" si="1"/>
        <v>0</v>
      </c>
      <c r="F39" s="367">
        <f t="shared" si="4"/>
        <v>0</v>
      </c>
      <c r="G39" s="371">
        <v>0</v>
      </c>
      <c r="H39" s="371">
        <v>0</v>
      </c>
      <c r="I39" s="371">
        <v>0</v>
      </c>
      <c r="J39" s="371">
        <v>0</v>
      </c>
      <c r="K39" s="371">
        <v>0</v>
      </c>
      <c r="L39" s="371">
        <v>0</v>
      </c>
      <c r="M39" s="371">
        <v>0</v>
      </c>
      <c r="N39" s="371">
        <v>0</v>
      </c>
      <c r="O39" s="371">
        <v>0</v>
      </c>
      <c r="P39" s="371">
        <v>0</v>
      </c>
      <c r="Q39" s="371">
        <v>0</v>
      </c>
      <c r="R39" s="371">
        <v>0</v>
      </c>
      <c r="S39" s="371">
        <v>0</v>
      </c>
      <c r="T39" s="367">
        <f t="shared" si="2"/>
        <v>0</v>
      </c>
      <c r="U39" s="367">
        <f t="shared" si="3"/>
        <v>0</v>
      </c>
    </row>
    <row r="40" spans="1:21" ht="31.5" x14ac:dyDescent="0.25">
      <c r="A40" s="368" t="s">
        <v>153</v>
      </c>
      <c r="B40" s="369" t="s">
        <v>140</v>
      </c>
      <c r="C40" s="370">
        <v>0</v>
      </c>
      <c r="D40" s="370">
        <v>0</v>
      </c>
      <c r="E40" s="367">
        <f t="shared" si="1"/>
        <v>0</v>
      </c>
      <c r="F40" s="367">
        <f t="shared" si="4"/>
        <v>0</v>
      </c>
      <c r="G40" s="371">
        <v>0</v>
      </c>
      <c r="H40" s="371">
        <v>0</v>
      </c>
      <c r="I40" s="371">
        <v>0</v>
      </c>
      <c r="J40" s="371">
        <v>0</v>
      </c>
      <c r="K40" s="371">
        <v>0</v>
      </c>
      <c r="L40" s="371">
        <v>0</v>
      </c>
      <c r="M40" s="371">
        <v>0</v>
      </c>
      <c r="N40" s="371">
        <v>0</v>
      </c>
      <c r="O40" s="371">
        <v>0</v>
      </c>
      <c r="P40" s="371">
        <v>0</v>
      </c>
      <c r="Q40" s="371">
        <v>0</v>
      </c>
      <c r="R40" s="371">
        <v>0</v>
      </c>
      <c r="S40" s="371">
        <v>0</v>
      </c>
      <c r="T40" s="367">
        <f t="shared" si="2"/>
        <v>0</v>
      </c>
      <c r="U40" s="367">
        <f t="shared" si="3"/>
        <v>0</v>
      </c>
    </row>
    <row r="41" spans="1:21" x14ac:dyDescent="0.25">
      <c r="A41" s="368" t="s">
        <v>152</v>
      </c>
      <c r="B41" s="369" t="s">
        <v>138</v>
      </c>
      <c r="C41" s="370">
        <v>0</v>
      </c>
      <c r="D41" s="370">
        <v>0</v>
      </c>
      <c r="E41" s="367">
        <f t="shared" si="1"/>
        <v>0</v>
      </c>
      <c r="F41" s="367">
        <f t="shared" si="4"/>
        <v>0</v>
      </c>
      <c r="G41" s="371">
        <v>0</v>
      </c>
      <c r="H41" s="371">
        <v>0</v>
      </c>
      <c r="I41" s="371">
        <v>0</v>
      </c>
      <c r="J41" s="371">
        <v>0</v>
      </c>
      <c r="K41" s="371">
        <v>0</v>
      </c>
      <c r="L41" s="371">
        <v>0</v>
      </c>
      <c r="M41" s="371">
        <v>0</v>
      </c>
      <c r="N41" s="371">
        <v>0</v>
      </c>
      <c r="O41" s="371">
        <v>0</v>
      </c>
      <c r="P41" s="371">
        <v>0</v>
      </c>
      <c r="Q41" s="371">
        <v>0</v>
      </c>
      <c r="R41" s="371">
        <v>0</v>
      </c>
      <c r="S41" s="371">
        <v>0</v>
      </c>
      <c r="T41" s="367">
        <f t="shared" si="2"/>
        <v>0</v>
      </c>
      <c r="U41" s="367">
        <f t="shared" si="3"/>
        <v>0</v>
      </c>
    </row>
    <row r="42" spans="1:21" ht="18.75" x14ac:dyDescent="0.25">
      <c r="A42" s="368" t="s">
        <v>151</v>
      </c>
      <c r="B42" s="232" t="s">
        <v>649</v>
      </c>
      <c r="C42" s="370">
        <v>0</v>
      </c>
      <c r="D42" s="370">
        <v>0</v>
      </c>
      <c r="E42" s="367">
        <f t="shared" si="1"/>
        <v>0</v>
      </c>
      <c r="F42" s="367">
        <f t="shared" si="4"/>
        <v>0</v>
      </c>
      <c r="G42" s="371">
        <v>0</v>
      </c>
      <c r="H42" s="371">
        <v>0</v>
      </c>
      <c r="I42" s="371">
        <v>0</v>
      </c>
      <c r="J42" s="371">
        <v>0</v>
      </c>
      <c r="K42" s="371">
        <v>0</v>
      </c>
      <c r="L42" s="371">
        <v>0</v>
      </c>
      <c r="M42" s="371">
        <v>0</v>
      </c>
      <c r="N42" s="371">
        <v>0</v>
      </c>
      <c r="O42" s="371">
        <v>0</v>
      </c>
      <c r="P42" s="371">
        <v>0</v>
      </c>
      <c r="Q42" s="371">
        <v>0</v>
      </c>
      <c r="R42" s="371">
        <v>0</v>
      </c>
      <c r="S42" s="371">
        <v>0</v>
      </c>
      <c r="T42" s="367">
        <f t="shared" si="2"/>
        <v>0</v>
      </c>
      <c r="U42" s="367">
        <f t="shared" si="3"/>
        <v>0</v>
      </c>
    </row>
    <row r="43" spans="1:21" x14ac:dyDescent="0.25">
      <c r="A43" s="364" t="s">
        <v>59</v>
      </c>
      <c r="B43" s="365" t="s">
        <v>150</v>
      </c>
      <c r="C43" s="370">
        <v>0</v>
      </c>
      <c r="D43" s="370">
        <v>0</v>
      </c>
      <c r="E43" s="367">
        <f t="shared" si="1"/>
        <v>0</v>
      </c>
      <c r="F43" s="367">
        <f t="shared" si="4"/>
        <v>0</v>
      </c>
      <c r="G43" s="370">
        <v>0</v>
      </c>
      <c r="H43" s="370">
        <v>0</v>
      </c>
      <c r="I43" s="370">
        <v>0</v>
      </c>
      <c r="J43" s="370">
        <v>0</v>
      </c>
      <c r="K43" s="370">
        <v>0</v>
      </c>
      <c r="L43" s="370">
        <v>0</v>
      </c>
      <c r="M43" s="370">
        <v>0</v>
      </c>
      <c r="N43" s="370">
        <v>0</v>
      </c>
      <c r="O43" s="370">
        <v>0</v>
      </c>
      <c r="P43" s="370">
        <v>0</v>
      </c>
      <c r="Q43" s="370">
        <v>0</v>
      </c>
      <c r="R43" s="370">
        <v>0</v>
      </c>
      <c r="S43" s="370">
        <v>0</v>
      </c>
      <c r="T43" s="367">
        <f t="shared" si="2"/>
        <v>0</v>
      </c>
      <c r="U43" s="367">
        <f t="shared" si="3"/>
        <v>0</v>
      </c>
    </row>
    <row r="44" spans="1:21" x14ac:dyDescent="0.25">
      <c r="A44" s="368" t="s">
        <v>149</v>
      </c>
      <c r="B44" s="369" t="s">
        <v>148</v>
      </c>
      <c r="C44" s="370">
        <v>0</v>
      </c>
      <c r="D44" s="370">
        <v>0</v>
      </c>
      <c r="E44" s="367">
        <f t="shared" si="1"/>
        <v>0</v>
      </c>
      <c r="F44" s="367">
        <f t="shared" si="4"/>
        <v>0</v>
      </c>
      <c r="G44" s="371">
        <v>0</v>
      </c>
      <c r="H44" s="371">
        <v>0</v>
      </c>
      <c r="I44" s="371">
        <v>0</v>
      </c>
      <c r="J44" s="371">
        <v>0</v>
      </c>
      <c r="K44" s="371">
        <v>0</v>
      </c>
      <c r="L44" s="371">
        <v>0</v>
      </c>
      <c r="M44" s="371">
        <v>0</v>
      </c>
      <c r="N44" s="371">
        <v>0</v>
      </c>
      <c r="O44" s="371">
        <v>0</v>
      </c>
      <c r="P44" s="371">
        <v>0</v>
      </c>
      <c r="Q44" s="371">
        <v>0</v>
      </c>
      <c r="R44" s="371">
        <v>0</v>
      </c>
      <c r="S44" s="371">
        <v>0</v>
      </c>
      <c r="T44" s="367">
        <f t="shared" si="2"/>
        <v>0</v>
      </c>
      <c r="U44" s="367">
        <f t="shared" si="3"/>
        <v>0</v>
      </c>
    </row>
    <row r="45" spans="1:21" x14ac:dyDescent="0.25">
      <c r="A45" s="368" t="s">
        <v>147</v>
      </c>
      <c r="B45" s="369" t="s">
        <v>146</v>
      </c>
      <c r="C45" s="370">
        <v>0</v>
      </c>
      <c r="D45" s="370">
        <v>0</v>
      </c>
      <c r="E45" s="367">
        <f t="shared" si="1"/>
        <v>0</v>
      </c>
      <c r="F45" s="367">
        <f t="shared" si="4"/>
        <v>0</v>
      </c>
      <c r="G45" s="371">
        <v>0</v>
      </c>
      <c r="H45" s="371">
        <v>0</v>
      </c>
      <c r="I45" s="371">
        <v>0</v>
      </c>
      <c r="J45" s="371">
        <v>0</v>
      </c>
      <c r="K45" s="371">
        <v>0</v>
      </c>
      <c r="L45" s="371">
        <v>0</v>
      </c>
      <c r="M45" s="371">
        <v>0</v>
      </c>
      <c r="N45" s="371">
        <v>0</v>
      </c>
      <c r="O45" s="371">
        <v>0</v>
      </c>
      <c r="P45" s="371">
        <v>0</v>
      </c>
      <c r="Q45" s="371">
        <v>0</v>
      </c>
      <c r="R45" s="371">
        <v>0</v>
      </c>
      <c r="S45" s="371">
        <v>0</v>
      </c>
      <c r="T45" s="367">
        <f t="shared" si="2"/>
        <v>0</v>
      </c>
      <c r="U45" s="367">
        <f t="shared" si="3"/>
        <v>0</v>
      </c>
    </row>
    <row r="46" spans="1:21" x14ac:dyDescent="0.25">
      <c r="A46" s="368" t="s">
        <v>145</v>
      </c>
      <c r="B46" s="369" t="s">
        <v>144</v>
      </c>
      <c r="C46" s="370">
        <v>0</v>
      </c>
      <c r="D46" s="370">
        <v>0</v>
      </c>
      <c r="E46" s="367">
        <f t="shared" si="1"/>
        <v>0</v>
      </c>
      <c r="F46" s="367">
        <f t="shared" si="4"/>
        <v>0</v>
      </c>
      <c r="G46" s="371">
        <v>0</v>
      </c>
      <c r="H46" s="371">
        <v>0</v>
      </c>
      <c r="I46" s="371">
        <v>0</v>
      </c>
      <c r="J46" s="371">
        <v>0</v>
      </c>
      <c r="K46" s="371">
        <v>0</v>
      </c>
      <c r="L46" s="371">
        <v>0</v>
      </c>
      <c r="M46" s="371">
        <v>0</v>
      </c>
      <c r="N46" s="371">
        <v>0</v>
      </c>
      <c r="O46" s="371">
        <v>0</v>
      </c>
      <c r="P46" s="371">
        <v>0</v>
      </c>
      <c r="Q46" s="371">
        <v>0</v>
      </c>
      <c r="R46" s="371">
        <v>0</v>
      </c>
      <c r="S46" s="371">
        <v>0</v>
      </c>
      <c r="T46" s="367">
        <f t="shared" si="2"/>
        <v>0</v>
      </c>
      <c r="U46" s="367">
        <f t="shared" si="3"/>
        <v>0</v>
      </c>
    </row>
    <row r="47" spans="1:21" ht="31.5" x14ac:dyDescent="0.25">
      <c r="A47" s="368" t="s">
        <v>143</v>
      </c>
      <c r="B47" s="369" t="s">
        <v>142</v>
      </c>
      <c r="C47" s="370">
        <v>0</v>
      </c>
      <c r="D47" s="370">
        <v>0</v>
      </c>
      <c r="E47" s="367">
        <f t="shared" si="1"/>
        <v>0</v>
      </c>
      <c r="F47" s="367">
        <f t="shared" si="4"/>
        <v>0</v>
      </c>
      <c r="G47" s="371">
        <v>0</v>
      </c>
      <c r="H47" s="371">
        <v>0</v>
      </c>
      <c r="I47" s="371">
        <v>0</v>
      </c>
      <c r="J47" s="371">
        <v>0</v>
      </c>
      <c r="K47" s="371">
        <v>0</v>
      </c>
      <c r="L47" s="371">
        <v>0</v>
      </c>
      <c r="M47" s="371">
        <v>0</v>
      </c>
      <c r="N47" s="371">
        <v>0</v>
      </c>
      <c r="O47" s="371">
        <v>0</v>
      </c>
      <c r="P47" s="371">
        <v>0</v>
      </c>
      <c r="Q47" s="371">
        <v>0</v>
      </c>
      <c r="R47" s="371">
        <v>0</v>
      </c>
      <c r="S47" s="371">
        <v>0</v>
      </c>
      <c r="T47" s="367">
        <f t="shared" si="2"/>
        <v>0</v>
      </c>
      <c r="U47" s="367">
        <f t="shared" si="3"/>
        <v>0</v>
      </c>
    </row>
    <row r="48" spans="1:21" ht="31.5" x14ac:dyDescent="0.25">
      <c r="A48" s="368" t="s">
        <v>141</v>
      </c>
      <c r="B48" s="369" t="s">
        <v>140</v>
      </c>
      <c r="C48" s="370">
        <v>0</v>
      </c>
      <c r="D48" s="370">
        <v>0</v>
      </c>
      <c r="E48" s="367">
        <f t="shared" si="1"/>
        <v>0</v>
      </c>
      <c r="F48" s="367">
        <f t="shared" si="4"/>
        <v>0</v>
      </c>
      <c r="G48" s="371">
        <v>0</v>
      </c>
      <c r="H48" s="371">
        <v>0</v>
      </c>
      <c r="I48" s="371">
        <v>0</v>
      </c>
      <c r="J48" s="371">
        <v>0</v>
      </c>
      <c r="K48" s="371">
        <v>0</v>
      </c>
      <c r="L48" s="371">
        <v>0</v>
      </c>
      <c r="M48" s="371">
        <v>0</v>
      </c>
      <c r="N48" s="371">
        <v>0</v>
      </c>
      <c r="O48" s="371">
        <v>0</v>
      </c>
      <c r="P48" s="371">
        <v>0</v>
      </c>
      <c r="Q48" s="371">
        <v>0</v>
      </c>
      <c r="R48" s="371">
        <v>0</v>
      </c>
      <c r="S48" s="371">
        <v>0</v>
      </c>
      <c r="T48" s="367">
        <f t="shared" si="2"/>
        <v>0</v>
      </c>
      <c r="U48" s="367">
        <f t="shared" si="3"/>
        <v>0</v>
      </c>
    </row>
    <row r="49" spans="1:21" x14ac:dyDescent="0.25">
      <c r="A49" s="368" t="s">
        <v>139</v>
      </c>
      <c r="B49" s="369" t="s">
        <v>138</v>
      </c>
      <c r="C49" s="370">
        <v>0</v>
      </c>
      <c r="D49" s="370">
        <v>0</v>
      </c>
      <c r="E49" s="367">
        <f t="shared" si="1"/>
        <v>0</v>
      </c>
      <c r="F49" s="367">
        <f t="shared" si="4"/>
        <v>0</v>
      </c>
      <c r="G49" s="371">
        <v>0</v>
      </c>
      <c r="H49" s="371">
        <v>0</v>
      </c>
      <c r="I49" s="371">
        <v>0</v>
      </c>
      <c r="J49" s="371">
        <v>0</v>
      </c>
      <c r="K49" s="371">
        <v>0</v>
      </c>
      <c r="L49" s="371">
        <v>0</v>
      </c>
      <c r="M49" s="371">
        <v>0</v>
      </c>
      <c r="N49" s="371">
        <v>0</v>
      </c>
      <c r="O49" s="371">
        <v>0</v>
      </c>
      <c r="P49" s="371">
        <v>0</v>
      </c>
      <c r="Q49" s="371">
        <v>0</v>
      </c>
      <c r="R49" s="371">
        <v>0</v>
      </c>
      <c r="S49" s="371">
        <v>0</v>
      </c>
      <c r="T49" s="367">
        <f t="shared" si="2"/>
        <v>0</v>
      </c>
      <c r="U49" s="367">
        <f t="shared" si="3"/>
        <v>0</v>
      </c>
    </row>
    <row r="50" spans="1:21" ht="18.75" x14ac:dyDescent="0.25">
      <c r="A50" s="368" t="s">
        <v>137</v>
      </c>
      <c r="B50" s="232" t="s">
        <v>649</v>
      </c>
      <c r="C50" s="370">
        <f>C57</f>
        <v>13047</v>
      </c>
      <c r="D50" s="370">
        <v>0</v>
      </c>
      <c r="E50" s="367">
        <v>6454</v>
      </c>
      <c r="F50" s="367">
        <f t="shared" si="4"/>
        <v>168</v>
      </c>
      <c r="G50" s="371">
        <f>G57</f>
        <v>6286</v>
      </c>
      <c r="H50" s="371">
        <v>0</v>
      </c>
      <c r="I50" s="371">
        <v>0</v>
      </c>
      <c r="J50" s="371">
        <v>0</v>
      </c>
      <c r="K50" s="371">
        <v>0</v>
      </c>
      <c r="L50" s="371">
        <v>0</v>
      </c>
      <c r="M50" s="371">
        <v>0</v>
      </c>
      <c r="N50" s="371">
        <v>0</v>
      </c>
      <c r="O50" s="371">
        <v>0</v>
      </c>
      <c r="P50" s="371">
        <v>0</v>
      </c>
      <c r="Q50" s="371">
        <v>0</v>
      </c>
      <c r="R50" s="371">
        <v>0</v>
      </c>
      <c r="S50" s="371">
        <v>0</v>
      </c>
      <c r="T50" s="367">
        <f t="shared" si="2"/>
        <v>0</v>
      </c>
      <c r="U50" s="367">
        <f t="shared" si="3"/>
        <v>0</v>
      </c>
    </row>
    <row r="51" spans="1:21" ht="35.25" customHeight="1" x14ac:dyDescent="0.25">
      <c r="A51" s="364" t="s">
        <v>57</v>
      </c>
      <c r="B51" s="365" t="s">
        <v>136</v>
      </c>
      <c r="C51" s="370">
        <v>0</v>
      </c>
      <c r="D51" s="370">
        <v>0</v>
      </c>
      <c r="E51" s="367">
        <v>0</v>
      </c>
      <c r="F51" s="367">
        <f t="shared" si="4"/>
        <v>0</v>
      </c>
      <c r="G51" s="370">
        <v>0</v>
      </c>
      <c r="H51" s="370">
        <v>0</v>
      </c>
      <c r="I51" s="370">
        <v>0</v>
      </c>
      <c r="J51" s="370">
        <v>0</v>
      </c>
      <c r="K51" s="370">
        <v>0</v>
      </c>
      <c r="L51" s="370">
        <v>0</v>
      </c>
      <c r="M51" s="370">
        <v>0</v>
      </c>
      <c r="N51" s="370">
        <v>0</v>
      </c>
      <c r="O51" s="370">
        <v>0</v>
      </c>
      <c r="P51" s="370">
        <v>0</v>
      </c>
      <c r="Q51" s="370">
        <v>0</v>
      </c>
      <c r="R51" s="370">
        <v>0</v>
      </c>
      <c r="S51" s="370">
        <v>0</v>
      </c>
      <c r="T51" s="367">
        <f t="shared" si="2"/>
        <v>0</v>
      </c>
      <c r="U51" s="367">
        <f t="shared" si="3"/>
        <v>0</v>
      </c>
    </row>
    <row r="52" spans="1:21" x14ac:dyDescent="0.25">
      <c r="A52" s="368" t="s">
        <v>135</v>
      </c>
      <c r="B52" s="369" t="s">
        <v>134</v>
      </c>
      <c r="C52" s="370">
        <f>C30</f>
        <v>230.85360118</v>
      </c>
      <c r="D52" s="370">
        <v>0</v>
      </c>
      <c r="E52" s="367">
        <v>99.48187129217375</v>
      </c>
      <c r="F52" s="367">
        <f t="shared" si="4"/>
        <v>2.1585830121737501</v>
      </c>
      <c r="G52" s="371">
        <v>97.32328828</v>
      </c>
      <c r="H52" s="371">
        <v>0</v>
      </c>
      <c r="I52" s="371">
        <v>0</v>
      </c>
      <c r="J52" s="371">
        <v>0</v>
      </c>
      <c r="K52" s="371">
        <v>0</v>
      </c>
      <c r="L52" s="371">
        <v>0</v>
      </c>
      <c r="M52" s="371">
        <v>0</v>
      </c>
      <c r="N52" s="371">
        <v>0</v>
      </c>
      <c r="O52" s="371">
        <v>0</v>
      </c>
      <c r="P52" s="371">
        <v>0</v>
      </c>
      <c r="Q52" s="371">
        <v>0</v>
      </c>
      <c r="R52" s="371">
        <v>0</v>
      </c>
      <c r="S52" s="371">
        <v>0</v>
      </c>
      <c r="T52" s="367">
        <f t="shared" si="2"/>
        <v>0</v>
      </c>
      <c r="U52" s="367">
        <f t="shared" si="3"/>
        <v>0</v>
      </c>
    </row>
    <row r="53" spans="1:21" x14ac:dyDescent="0.25">
      <c r="A53" s="368" t="s">
        <v>133</v>
      </c>
      <c r="B53" s="369" t="s">
        <v>127</v>
      </c>
      <c r="C53" s="370">
        <v>0</v>
      </c>
      <c r="D53" s="370">
        <v>0</v>
      </c>
      <c r="E53" s="367">
        <v>0</v>
      </c>
      <c r="F53" s="367">
        <f t="shared" si="4"/>
        <v>0</v>
      </c>
      <c r="G53" s="371">
        <v>0</v>
      </c>
      <c r="H53" s="371">
        <v>0</v>
      </c>
      <c r="I53" s="371">
        <v>0</v>
      </c>
      <c r="J53" s="371">
        <v>0</v>
      </c>
      <c r="K53" s="371">
        <v>0</v>
      </c>
      <c r="L53" s="371">
        <v>0</v>
      </c>
      <c r="M53" s="371">
        <v>0</v>
      </c>
      <c r="N53" s="371">
        <v>0</v>
      </c>
      <c r="O53" s="371">
        <v>0</v>
      </c>
      <c r="P53" s="371">
        <v>0</v>
      </c>
      <c r="Q53" s="371">
        <v>0</v>
      </c>
      <c r="R53" s="371">
        <v>0</v>
      </c>
      <c r="S53" s="371">
        <v>0</v>
      </c>
      <c r="T53" s="367">
        <f t="shared" si="2"/>
        <v>0</v>
      </c>
      <c r="U53" s="367">
        <f t="shared" si="3"/>
        <v>0</v>
      </c>
    </row>
    <row r="54" spans="1:21" x14ac:dyDescent="0.25">
      <c r="A54" s="368" t="s">
        <v>132</v>
      </c>
      <c r="B54" s="372" t="s">
        <v>126</v>
      </c>
      <c r="C54" s="370">
        <v>0</v>
      </c>
      <c r="D54" s="370">
        <v>0</v>
      </c>
      <c r="E54" s="367">
        <v>0</v>
      </c>
      <c r="F54" s="367">
        <f t="shared" si="4"/>
        <v>0</v>
      </c>
      <c r="G54" s="371">
        <v>0</v>
      </c>
      <c r="H54" s="371">
        <v>0</v>
      </c>
      <c r="I54" s="371">
        <v>0</v>
      </c>
      <c r="J54" s="371">
        <v>0</v>
      </c>
      <c r="K54" s="371">
        <v>0</v>
      </c>
      <c r="L54" s="371">
        <v>0</v>
      </c>
      <c r="M54" s="371">
        <v>0</v>
      </c>
      <c r="N54" s="371">
        <v>0</v>
      </c>
      <c r="O54" s="371">
        <v>0</v>
      </c>
      <c r="P54" s="371">
        <v>0</v>
      </c>
      <c r="Q54" s="371">
        <v>0</v>
      </c>
      <c r="R54" s="371">
        <v>0</v>
      </c>
      <c r="S54" s="371">
        <v>0</v>
      </c>
      <c r="T54" s="367">
        <f t="shared" si="2"/>
        <v>0</v>
      </c>
      <c r="U54" s="367">
        <f t="shared" si="3"/>
        <v>0</v>
      </c>
    </row>
    <row r="55" spans="1:21" x14ac:dyDescent="0.25">
      <c r="A55" s="368" t="s">
        <v>131</v>
      </c>
      <c r="B55" s="372" t="s">
        <v>125</v>
      </c>
      <c r="C55" s="370">
        <v>0</v>
      </c>
      <c r="D55" s="370">
        <v>0</v>
      </c>
      <c r="E55" s="367">
        <v>0</v>
      </c>
      <c r="F55" s="367">
        <f t="shared" si="4"/>
        <v>0</v>
      </c>
      <c r="G55" s="371">
        <v>0</v>
      </c>
      <c r="H55" s="371">
        <v>0</v>
      </c>
      <c r="I55" s="371">
        <v>0</v>
      </c>
      <c r="J55" s="371">
        <v>0</v>
      </c>
      <c r="K55" s="371">
        <v>0</v>
      </c>
      <c r="L55" s="371">
        <v>0</v>
      </c>
      <c r="M55" s="371">
        <v>0</v>
      </c>
      <c r="N55" s="371">
        <v>0</v>
      </c>
      <c r="O55" s="371">
        <v>0</v>
      </c>
      <c r="P55" s="371">
        <v>0</v>
      </c>
      <c r="Q55" s="371">
        <v>0</v>
      </c>
      <c r="R55" s="371">
        <v>0</v>
      </c>
      <c r="S55" s="371">
        <v>0</v>
      </c>
      <c r="T55" s="367">
        <f t="shared" si="2"/>
        <v>0</v>
      </c>
      <c r="U55" s="367">
        <f t="shared" si="3"/>
        <v>0</v>
      </c>
    </row>
    <row r="56" spans="1:21" x14ac:dyDescent="0.25">
      <c r="A56" s="368" t="s">
        <v>130</v>
      </c>
      <c r="B56" s="372" t="s">
        <v>124</v>
      </c>
      <c r="C56" s="370">
        <v>0</v>
      </c>
      <c r="D56" s="370">
        <v>0</v>
      </c>
      <c r="E56" s="367">
        <v>0</v>
      </c>
      <c r="F56" s="367">
        <f t="shared" si="4"/>
        <v>0</v>
      </c>
      <c r="G56" s="371">
        <v>0</v>
      </c>
      <c r="H56" s="371">
        <v>0</v>
      </c>
      <c r="I56" s="371">
        <v>0</v>
      </c>
      <c r="J56" s="371">
        <v>0</v>
      </c>
      <c r="K56" s="371">
        <v>0</v>
      </c>
      <c r="L56" s="371">
        <v>0</v>
      </c>
      <c r="M56" s="371">
        <v>0</v>
      </c>
      <c r="N56" s="371">
        <v>0</v>
      </c>
      <c r="O56" s="371">
        <v>0</v>
      </c>
      <c r="P56" s="371">
        <v>0</v>
      </c>
      <c r="Q56" s="371">
        <v>0</v>
      </c>
      <c r="R56" s="371">
        <v>0</v>
      </c>
      <c r="S56" s="371">
        <v>0</v>
      </c>
      <c r="T56" s="367">
        <f t="shared" si="2"/>
        <v>0</v>
      </c>
      <c r="U56" s="367">
        <f t="shared" si="3"/>
        <v>0</v>
      </c>
    </row>
    <row r="57" spans="1:21" ht="18.75" x14ac:dyDescent="0.25">
      <c r="A57" s="368" t="s">
        <v>129</v>
      </c>
      <c r="B57" s="232" t="s">
        <v>649</v>
      </c>
      <c r="C57" s="370">
        <f>'Приложение № 1'!O63</f>
        <v>13047</v>
      </c>
      <c r="D57" s="370">
        <v>0</v>
      </c>
      <c r="E57" s="367">
        <v>6454</v>
      </c>
      <c r="F57" s="367">
        <f>F50</f>
        <v>168</v>
      </c>
      <c r="G57" s="371">
        <v>6286</v>
      </c>
      <c r="H57" s="371">
        <v>0</v>
      </c>
      <c r="I57" s="371">
        <v>0</v>
      </c>
      <c r="J57" s="371">
        <v>0</v>
      </c>
      <c r="K57" s="371">
        <v>0</v>
      </c>
      <c r="L57" s="371">
        <v>0</v>
      </c>
      <c r="M57" s="371">
        <v>0</v>
      </c>
      <c r="N57" s="371">
        <v>0</v>
      </c>
      <c r="O57" s="371">
        <v>0</v>
      </c>
      <c r="P57" s="371">
        <v>0</v>
      </c>
      <c r="Q57" s="371">
        <v>0</v>
      </c>
      <c r="R57" s="371">
        <v>0</v>
      </c>
      <c r="S57" s="371">
        <v>0</v>
      </c>
      <c r="T57" s="367">
        <f t="shared" si="2"/>
        <v>0</v>
      </c>
      <c r="U57" s="367">
        <f t="shared" si="3"/>
        <v>0</v>
      </c>
    </row>
    <row r="58" spans="1:21" ht="36.75" customHeight="1" x14ac:dyDescent="0.25">
      <c r="A58" s="364" t="s">
        <v>56</v>
      </c>
      <c r="B58" s="373" t="s">
        <v>224</v>
      </c>
      <c r="C58" s="370">
        <v>0</v>
      </c>
      <c r="D58" s="370">
        <v>0</v>
      </c>
      <c r="E58" s="367">
        <f t="shared" ref="E58:E64" si="6">G58+H58</f>
        <v>0</v>
      </c>
      <c r="F58" s="367">
        <f t="shared" ref="F58:F64" si="7">E58-G58</f>
        <v>0</v>
      </c>
      <c r="G58" s="370">
        <v>0</v>
      </c>
      <c r="H58" s="370">
        <v>0</v>
      </c>
      <c r="I58" s="370">
        <v>0</v>
      </c>
      <c r="J58" s="370">
        <v>0</v>
      </c>
      <c r="K58" s="370">
        <v>0</v>
      </c>
      <c r="L58" s="370">
        <v>0</v>
      </c>
      <c r="M58" s="370">
        <v>0</v>
      </c>
      <c r="N58" s="370">
        <v>0</v>
      </c>
      <c r="O58" s="370">
        <v>0</v>
      </c>
      <c r="P58" s="370">
        <v>0</v>
      </c>
      <c r="Q58" s="370">
        <v>0</v>
      </c>
      <c r="R58" s="370">
        <v>0</v>
      </c>
      <c r="S58" s="370">
        <v>0</v>
      </c>
      <c r="T58" s="367">
        <f t="shared" si="2"/>
        <v>0</v>
      </c>
      <c r="U58" s="367">
        <f t="shared" si="3"/>
        <v>0</v>
      </c>
    </row>
    <row r="59" spans="1:21" x14ac:dyDescent="0.25">
      <c r="A59" s="364" t="s">
        <v>54</v>
      </c>
      <c r="B59" s="365" t="s">
        <v>128</v>
      </c>
      <c r="C59" s="370">
        <v>0</v>
      </c>
      <c r="D59" s="370">
        <v>0</v>
      </c>
      <c r="E59" s="367">
        <f t="shared" si="6"/>
        <v>0</v>
      </c>
      <c r="F59" s="367">
        <f t="shared" si="7"/>
        <v>0</v>
      </c>
      <c r="G59" s="370">
        <v>0</v>
      </c>
      <c r="H59" s="370">
        <v>0</v>
      </c>
      <c r="I59" s="370">
        <v>0</v>
      </c>
      <c r="J59" s="370">
        <v>0</v>
      </c>
      <c r="K59" s="370">
        <v>0</v>
      </c>
      <c r="L59" s="370">
        <v>0</v>
      </c>
      <c r="M59" s="370">
        <v>0</v>
      </c>
      <c r="N59" s="370">
        <v>0</v>
      </c>
      <c r="O59" s="370">
        <v>0</v>
      </c>
      <c r="P59" s="370">
        <v>0</v>
      </c>
      <c r="Q59" s="370">
        <v>0</v>
      </c>
      <c r="R59" s="370">
        <v>0</v>
      </c>
      <c r="S59" s="370">
        <v>0</v>
      </c>
      <c r="T59" s="367">
        <f t="shared" si="2"/>
        <v>0</v>
      </c>
      <c r="U59" s="367">
        <f t="shared" si="3"/>
        <v>0</v>
      </c>
    </row>
    <row r="60" spans="1:21" x14ac:dyDescent="0.25">
      <c r="A60" s="368" t="s">
        <v>218</v>
      </c>
      <c r="B60" s="63" t="s">
        <v>148</v>
      </c>
      <c r="C60" s="370">
        <v>0</v>
      </c>
      <c r="D60" s="370">
        <v>0</v>
      </c>
      <c r="E60" s="367">
        <f t="shared" si="6"/>
        <v>0</v>
      </c>
      <c r="F60" s="367">
        <f t="shared" si="7"/>
        <v>0</v>
      </c>
      <c r="G60" s="371">
        <v>0</v>
      </c>
      <c r="H60" s="371">
        <v>0</v>
      </c>
      <c r="I60" s="371">
        <v>0</v>
      </c>
      <c r="J60" s="371">
        <v>0</v>
      </c>
      <c r="K60" s="371">
        <v>0</v>
      </c>
      <c r="L60" s="371">
        <v>0</v>
      </c>
      <c r="M60" s="371">
        <v>0</v>
      </c>
      <c r="N60" s="371">
        <v>0</v>
      </c>
      <c r="O60" s="371">
        <v>0</v>
      </c>
      <c r="P60" s="371">
        <v>0</v>
      </c>
      <c r="Q60" s="371">
        <v>0</v>
      </c>
      <c r="R60" s="371">
        <v>0</v>
      </c>
      <c r="S60" s="371">
        <v>0</v>
      </c>
      <c r="T60" s="367">
        <f t="shared" si="2"/>
        <v>0</v>
      </c>
      <c r="U60" s="367">
        <f t="shared" si="3"/>
        <v>0</v>
      </c>
    </row>
    <row r="61" spans="1:21" x14ac:dyDescent="0.25">
      <c r="A61" s="368" t="s">
        <v>219</v>
      </c>
      <c r="B61" s="63" t="s">
        <v>146</v>
      </c>
      <c r="C61" s="370">
        <v>0</v>
      </c>
      <c r="D61" s="370">
        <v>0</v>
      </c>
      <c r="E61" s="367">
        <f t="shared" si="6"/>
        <v>0</v>
      </c>
      <c r="F61" s="367">
        <f t="shared" si="7"/>
        <v>0</v>
      </c>
      <c r="G61" s="371">
        <v>0</v>
      </c>
      <c r="H61" s="371">
        <v>0</v>
      </c>
      <c r="I61" s="371">
        <v>0</v>
      </c>
      <c r="J61" s="371">
        <v>0</v>
      </c>
      <c r="K61" s="371">
        <v>0</v>
      </c>
      <c r="L61" s="371">
        <v>0</v>
      </c>
      <c r="M61" s="371">
        <v>0</v>
      </c>
      <c r="N61" s="371">
        <v>0</v>
      </c>
      <c r="O61" s="371">
        <v>0</v>
      </c>
      <c r="P61" s="371">
        <v>0</v>
      </c>
      <c r="Q61" s="371">
        <v>0</v>
      </c>
      <c r="R61" s="371">
        <v>0</v>
      </c>
      <c r="S61" s="371">
        <v>0</v>
      </c>
      <c r="T61" s="367">
        <f t="shared" si="2"/>
        <v>0</v>
      </c>
      <c r="U61" s="367">
        <f t="shared" si="3"/>
        <v>0</v>
      </c>
    </row>
    <row r="62" spans="1:21" x14ac:dyDescent="0.25">
      <c r="A62" s="368" t="s">
        <v>220</v>
      </c>
      <c r="B62" s="63" t="s">
        <v>144</v>
      </c>
      <c r="C62" s="370">
        <v>0</v>
      </c>
      <c r="D62" s="370">
        <v>0</v>
      </c>
      <c r="E62" s="367">
        <f t="shared" si="6"/>
        <v>0</v>
      </c>
      <c r="F62" s="367">
        <f t="shared" si="7"/>
        <v>0</v>
      </c>
      <c r="G62" s="371">
        <v>0</v>
      </c>
      <c r="H62" s="371">
        <v>0</v>
      </c>
      <c r="I62" s="371">
        <v>0</v>
      </c>
      <c r="J62" s="371">
        <v>0</v>
      </c>
      <c r="K62" s="371">
        <v>0</v>
      </c>
      <c r="L62" s="371">
        <v>0</v>
      </c>
      <c r="M62" s="371">
        <v>0</v>
      </c>
      <c r="N62" s="371">
        <v>0</v>
      </c>
      <c r="O62" s="371">
        <v>0</v>
      </c>
      <c r="P62" s="371">
        <v>0</v>
      </c>
      <c r="Q62" s="371">
        <v>0</v>
      </c>
      <c r="R62" s="371">
        <v>0</v>
      </c>
      <c r="S62" s="371">
        <v>0</v>
      </c>
      <c r="T62" s="367">
        <f t="shared" si="2"/>
        <v>0</v>
      </c>
      <c r="U62" s="367">
        <f t="shared" si="3"/>
        <v>0</v>
      </c>
    </row>
    <row r="63" spans="1:21" x14ac:dyDescent="0.25">
      <c r="A63" s="368" t="s">
        <v>221</v>
      </c>
      <c r="B63" s="63" t="s">
        <v>223</v>
      </c>
      <c r="C63" s="370">
        <v>0</v>
      </c>
      <c r="D63" s="370">
        <v>0</v>
      </c>
      <c r="E63" s="367">
        <f t="shared" si="6"/>
        <v>0</v>
      </c>
      <c r="F63" s="367">
        <f t="shared" si="7"/>
        <v>0</v>
      </c>
      <c r="G63" s="371">
        <v>0</v>
      </c>
      <c r="H63" s="371">
        <v>0</v>
      </c>
      <c r="I63" s="371">
        <v>0</v>
      </c>
      <c r="J63" s="371">
        <v>0</v>
      </c>
      <c r="K63" s="371">
        <v>0</v>
      </c>
      <c r="L63" s="371">
        <v>0</v>
      </c>
      <c r="M63" s="371">
        <v>0</v>
      </c>
      <c r="N63" s="371">
        <v>0</v>
      </c>
      <c r="O63" s="371">
        <v>0</v>
      </c>
      <c r="P63" s="371">
        <v>0</v>
      </c>
      <c r="Q63" s="371">
        <v>0</v>
      </c>
      <c r="R63" s="371">
        <v>0</v>
      </c>
      <c r="S63" s="371">
        <v>0</v>
      </c>
      <c r="T63" s="367">
        <f t="shared" si="2"/>
        <v>0</v>
      </c>
      <c r="U63" s="367">
        <f t="shared" si="3"/>
        <v>0</v>
      </c>
    </row>
    <row r="64" spans="1:21" ht="18.75" x14ac:dyDescent="0.25">
      <c r="A64" s="368" t="s">
        <v>222</v>
      </c>
      <c r="B64" s="372" t="s">
        <v>752</v>
      </c>
      <c r="C64" s="370">
        <v>0</v>
      </c>
      <c r="D64" s="370">
        <v>0</v>
      </c>
      <c r="E64" s="367">
        <f t="shared" si="6"/>
        <v>0</v>
      </c>
      <c r="F64" s="367">
        <f t="shared" si="7"/>
        <v>0</v>
      </c>
      <c r="G64" s="371">
        <v>0</v>
      </c>
      <c r="H64" s="371">
        <v>0</v>
      </c>
      <c r="I64" s="371">
        <v>0</v>
      </c>
      <c r="J64" s="371">
        <v>0</v>
      </c>
      <c r="K64" s="371">
        <v>0</v>
      </c>
      <c r="L64" s="371">
        <v>0</v>
      </c>
      <c r="M64" s="371">
        <v>0</v>
      </c>
      <c r="N64" s="371">
        <v>0</v>
      </c>
      <c r="O64" s="371">
        <v>0</v>
      </c>
      <c r="P64" s="371">
        <v>0</v>
      </c>
      <c r="Q64" s="371">
        <v>0</v>
      </c>
      <c r="R64" s="371">
        <v>0</v>
      </c>
      <c r="S64" s="371">
        <v>0</v>
      </c>
      <c r="T64" s="367">
        <f t="shared" si="2"/>
        <v>0</v>
      </c>
      <c r="U64" s="367">
        <f t="shared" si="3"/>
        <v>0</v>
      </c>
    </row>
    <row r="65" spans="1:20" x14ac:dyDescent="0.25">
      <c r="A65" s="60"/>
      <c r="B65" s="61"/>
      <c r="C65" s="61"/>
      <c r="D65" s="61"/>
      <c r="E65" s="61"/>
      <c r="F65" s="61"/>
      <c r="G65" s="61"/>
      <c r="H65" s="61"/>
      <c r="I65" s="61"/>
      <c r="J65" s="61"/>
      <c r="K65" s="61"/>
      <c r="L65" s="61"/>
      <c r="M65" s="61"/>
      <c r="N65" s="61"/>
      <c r="O65" s="61"/>
      <c r="P65" s="61"/>
      <c r="Q65" s="61"/>
      <c r="R65" s="61"/>
      <c r="S65" s="61"/>
    </row>
    <row r="66" spans="1:20" ht="54" customHeight="1" x14ac:dyDescent="0.25">
      <c r="B66" s="513"/>
      <c r="C66" s="513"/>
      <c r="D66" s="513"/>
      <c r="E66" s="513"/>
      <c r="F66" s="513"/>
      <c r="G66" s="513"/>
      <c r="H66" s="513"/>
      <c r="I66" s="513"/>
      <c r="J66" s="513"/>
      <c r="K66" s="513"/>
      <c r="L66" s="513"/>
      <c r="M66" s="513"/>
      <c r="N66" s="513"/>
      <c r="O66" s="513"/>
      <c r="P66" s="513"/>
      <c r="Q66" s="513"/>
      <c r="R66" s="513"/>
      <c r="S66" s="513"/>
      <c r="T66" s="59"/>
    </row>
    <row r="68" spans="1:20" ht="50.25" customHeight="1" x14ac:dyDescent="0.25">
      <c r="B68" s="523"/>
      <c r="C68" s="523"/>
      <c r="D68" s="523"/>
      <c r="E68" s="523"/>
      <c r="F68" s="523"/>
      <c r="G68" s="523"/>
      <c r="H68" s="523"/>
      <c r="I68" s="523"/>
      <c r="J68" s="523"/>
      <c r="K68" s="523"/>
      <c r="L68" s="523"/>
      <c r="M68" s="523"/>
      <c r="N68" s="523"/>
      <c r="O68" s="523"/>
      <c r="P68" s="523"/>
      <c r="Q68" s="523"/>
      <c r="R68" s="523"/>
      <c r="S68" s="523"/>
    </row>
    <row r="70" spans="1:20" ht="36.75" customHeight="1" x14ac:dyDescent="0.25">
      <c r="B70" s="513"/>
      <c r="C70" s="513"/>
      <c r="D70" s="513"/>
      <c r="E70" s="513"/>
      <c r="F70" s="513"/>
      <c r="G70" s="513"/>
      <c r="H70" s="513"/>
      <c r="I70" s="513"/>
      <c r="J70" s="513"/>
      <c r="K70" s="513"/>
      <c r="L70" s="513"/>
      <c r="M70" s="513"/>
      <c r="N70" s="513"/>
      <c r="O70" s="513"/>
      <c r="P70" s="513"/>
      <c r="Q70" s="513"/>
      <c r="R70" s="513"/>
      <c r="S70" s="513"/>
    </row>
    <row r="71" spans="1:20" x14ac:dyDescent="0.25">
      <c r="B71" s="58"/>
      <c r="C71" s="58"/>
      <c r="D71" s="58"/>
      <c r="E71" s="58"/>
      <c r="F71" s="58"/>
    </row>
    <row r="72" spans="1:20" ht="51" customHeight="1" x14ac:dyDescent="0.25">
      <c r="B72" s="513"/>
      <c r="C72" s="513"/>
      <c r="D72" s="513"/>
      <c r="E72" s="513"/>
      <c r="F72" s="513"/>
      <c r="G72" s="513"/>
      <c r="H72" s="513"/>
      <c r="I72" s="513"/>
      <c r="J72" s="513"/>
      <c r="K72" s="513"/>
      <c r="L72" s="513"/>
      <c r="M72" s="513"/>
      <c r="N72" s="513"/>
      <c r="O72" s="513"/>
      <c r="P72" s="513"/>
      <c r="Q72" s="513"/>
      <c r="R72" s="513"/>
      <c r="S72" s="513"/>
    </row>
    <row r="73" spans="1:20" ht="32.25" customHeight="1" x14ac:dyDescent="0.25">
      <c r="B73" s="523"/>
      <c r="C73" s="523"/>
      <c r="D73" s="523"/>
      <c r="E73" s="523"/>
      <c r="F73" s="523"/>
      <c r="G73" s="523"/>
      <c r="H73" s="523"/>
      <c r="I73" s="523"/>
      <c r="J73" s="523"/>
      <c r="K73" s="523"/>
      <c r="L73" s="523"/>
      <c r="M73" s="523"/>
      <c r="N73" s="523"/>
      <c r="O73" s="523"/>
      <c r="P73" s="523"/>
      <c r="Q73" s="523"/>
      <c r="R73" s="523"/>
      <c r="S73" s="523"/>
    </row>
    <row r="74" spans="1:20" ht="51.75" customHeight="1" x14ac:dyDescent="0.25">
      <c r="B74" s="513"/>
      <c r="C74" s="513"/>
      <c r="D74" s="513"/>
      <c r="E74" s="513"/>
      <c r="F74" s="513"/>
      <c r="G74" s="513"/>
      <c r="H74" s="513"/>
      <c r="I74" s="513"/>
      <c r="J74" s="513"/>
      <c r="K74" s="513"/>
      <c r="L74" s="513"/>
      <c r="M74" s="513"/>
      <c r="N74" s="513"/>
      <c r="O74" s="513"/>
      <c r="P74" s="513"/>
      <c r="Q74" s="513"/>
      <c r="R74" s="513"/>
      <c r="S74" s="513"/>
    </row>
    <row r="75" spans="1:20" ht="21.75" customHeight="1" x14ac:dyDescent="0.25">
      <c r="B75" s="514"/>
      <c r="C75" s="514"/>
      <c r="D75" s="514"/>
      <c r="E75" s="514"/>
      <c r="F75" s="514"/>
      <c r="G75" s="514"/>
      <c r="H75" s="514"/>
      <c r="I75" s="514"/>
      <c r="J75" s="514"/>
      <c r="K75" s="514"/>
      <c r="L75" s="514"/>
      <c r="M75" s="514"/>
      <c r="N75" s="514"/>
      <c r="O75" s="514"/>
      <c r="P75" s="514"/>
      <c r="Q75" s="514"/>
      <c r="R75" s="514"/>
      <c r="S75" s="514"/>
    </row>
    <row r="76" spans="1:20" ht="23.25" customHeight="1" x14ac:dyDescent="0.25">
      <c r="B76" s="56"/>
      <c r="C76" s="56"/>
      <c r="D76" s="56"/>
      <c r="E76" s="56"/>
      <c r="F76" s="56"/>
    </row>
    <row r="77" spans="1:20" ht="18.75" customHeight="1" x14ac:dyDescent="0.25">
      <c r="B77" s="515"/>
      <c r="C77" s="515"/>
      <c r="D77" s="515"/>
      <c r="E77" s="515"/>
      <c r="F77" s="515"/>
      <c r="G77" s="515"/>
      <c r="H77" s="515"/>
      <c r="I77" s="515"/>
      <c r="J77" s="515"/>
      <c r="K77" s="515"/>
      <c r="L77" s="515"/>
      <c r="M77" s="515"/>
      <c r="N77" s="515"/>
      <c r="O77" s="515"/>
      <c r="P77" s="515"/>
      <c r="Q77" s="515"/>
      <c r="R77" s="515"/>
      <c r="S77" s="515"/>
    </row>
  </sheetData>
  <mergeCells count="33">
    <mergeCell ref="A14:U14"/>
    <mergeCell ref="A15:U15"/>
    <mergeCell ref="A16:U16"/>
    <mergeCell ref="A18:U18"/>
    <mergeCell ref="T20:U21"/>
    <mergeCell ref="H20:K20"/>
    <mergeCell ref="L20:O20"/>
    <mergeCell ref="P20:S20"/>
    <mergeCell ref="H21:I21"/>
    <mergeCell ref="J21:K21"/>
    <mergeCell ref="L21:M21"/>
    <mergeCell ref="N21:O21"/>
    <mergeCell ref="P21:Q21"/>
    <mergeCell ref="R21:S21"/>
    <mergeCell ref="B74:S74"/>
    <mergeCell ref="B75:S75"/>
    <mergeCell ref="B77:S77"/>
    <mergeCell ref="A20:A22"/>
    <mergeCell ref="B20:B22"/>
    <mergeCell ref="C20:D21"/>
    <mergeCell ref="E20:F21"/>
    <mergeCell ref="G20:G22"/>
    <mergeCell ref="B66:S66"/>
    <mergeCell ref="B68:S68"/>
    <mergeCell ref="B70:S70"/>
    <mergeCell ref="B72:S72"/>
    <mergeCell ref="B73:S73"/>
    <mergeCell ref="A12:U12"/>
    <mergeCell ref="A4:U4"/>
    <mergeCell ref="A6:U6"/>
    <mergeCell ref="A8:U8"/>
    <mergeCell ref="A9:U9"/>
    <mergeCell ref="A11:U11"/>
  </mergeCells>
  <conditionalFormatting sqref="D58:D64 D28:D29 D31:D43 D24:S24">
    <cfRule type="cellIs" dxfId="35" priority="38" operator="notEqual">
      <formula>0</formula>
    </cfRule>
  </conditionalFormatting>
  <conditionalFormatting sqref="D51">
    <cfRule type="cellIs" dxfId="34" priority="37" operator="notEqual">
      <formula>0</formula>
    </cfRule>
  </conditionalFormatting>
  <conditionalFormatting sqref="D45:D46 D49:D50">
    <cfRule type="cellIs" dxfId="33" priority="36" operator="notEqual">
      <formula>0</formula>
    </cfRule>
  </conditionalFormatting>
  <conditionalFormatting sqref="D44">
    <cfRule type="cellIs" dxfId="32" priority="35" operator="notEqual">
      <formula>0</formula>
    </cfRule>
  </conditionalFormatting>
  <conditionalFormatting sqref="D25:D27">
    <cfRule type="cellIs" dxfId="31" priority="29" operator="notEqual">
      <formula>0</formula>
    </cfRule>
  </conditionalFormatting>
  <conditionalFormatting sqref="D47:D48">
    <cfRule type="cellIs" dxfId="30" priority="34" operator="notEqual">
      <formula>0</formula>
    </cfRule>
  </conditionalFormatting>
  <conditionalFormatting sqref="D57 D52">
    <cfRule type="cellIs" dxfId="29" priority="33" operator="notEqual">
      <formula>0</formula>
    </cfRule>
  </conditionalFormatting>
  <conditionalFormatting sqref="D53 D55">
    <cfRule type="cellIs" dxfId="28" priority="32" operator="notEqual">
      <formula>0</formula>
    </cfRule>
  </conditionalFormatting>
  <conditionalFormatting sqref="D54">
    <cfRule type="cellIs" dxfId="27" priority="31" operator="notEqual">
      <formula>0</formula>
    </cfRule>
  </conditionalFormatting>
  <conditionalFormatting sqref="D56">
    <cfRule type="cellIs" dxfId="26" priority="30" operator="notEqual">
      <formula>0</formula>
    </cfRule>
  </conditionalFormatting>
  <conditionalFormatting sqref="E25:F29 E31:F64">
    <cfRule type="cellIs" dxfId="25" priority="28" operator="greaterThan">
      <formula>0</formula>
    </cfRule>
  </conditionalFormatting>
  <conditionalFormatting sqref="E25:F29 E31:F64">
    <cfRule type="cellIs" dxfId="24" priority="27" operator="notEqual">
      <formula>0</formula>
    </cfRule>
  </conditionalFormatting>
  <conditionalFormatting sqref="I25:S26 I58:S64 I43:S43 I51:S51 I31:S36 G31:H34 I28:S29 I27 K27:S27">
    <cfRule type="cellIs" dxfId="23" priority="26" operator="notEqual">
      <formula>0</formula>
    </cfRule>
  </conditionalFormatting>
  <conditionalFormatting sqref="I37:S42">
    <cfRule type="cellIs" dxfId="22" priority="25" operator="notEqual">
      <formula>0</formula>
    </cfRule>
  </conditionalFormatting>
  <conditionalFormatting sqref="I44:S50">
    <cfRule type="cellIs" dxfId="21" priority="24" operator="notEqual">
      <formula>0</formula>
    </cfRule>
  </conditionalFormatting>
  <conditionalFormatting sqref="I52:S57">
    <cfRule type="cellIs" dxfId="20" priority="23" operator="notEqual">
      <formula>0</formula>
    </cfRule>
  </conditionalFormatting>
  <conditionalFormatting sqref="T24:T64">
    <cfRule type="cellIs" dxfId="19" priority="22" operator="notEqual">
      <formula>0</formula>
    </cfRule>
  </conditionalFormatting>
  <conditionalFormatting sqref="U24:U64">
    <cfRule type="cellIs" dxfId="18" priority="21" operator="notEqual">
      <formula>0</formula>
    </cfRule>
  </conditionalFormatting>
  <conditionalFormatting sqref="D30:S30">
    <cfRule type="cellIs" dxfId="17" priority="20" operator="notEqual">
      <formula>0</formula>
    </cfRule>
  </conditionalFormatting>
  <conditionalFormatting sqref="G25:H29 G58:H64 G43:H43 G51:H51 G35:H36">
    <cfRule type="cellIs" dxfId="16" priority="19" operator="notEqual">
      <formula>0</formula>
    </cfRule>
  </conditionalFormatting>
  <conditionalFormatting sqref="G37:H42">
    <cfRule type="cellIs" dxfId="15" priority="18" operator="notEqual">
      <formula>0</formula>
    </cfRule>
  </conditionalFormatting>
  <conditionalFormatting sqref="G44:H50">
    <cfRule type="cellIs" dxfId="14" priority="17" operator="notEqual">
      <formula>0</formula>
    </cfRule>
  </conditionalFormatting>
  <conditionalFormatting sqref="G52:H57">
    <cfRule type="cellIs" dxfId="13" priority="16" operator="notEqual">
      <formula>0</formula>
    </cfRule>
  </conditionalFormatting>
  <conditionalFormatting sqref="C58:C64 C28:C29 C31:C43">
    <cfRule type="cellIs" dxfId="12" priority="14" operator="notEqual">
      <formula>0</formula>
    </cfRule>
  </conditionalFormatting>
  <conditionalFormatting sqref="C51">
    <cfRule type="cellIs" dxfId="11" priority="13" operator="notEqual">
      <formula>0</formula>
    </cfRule>
  </conditionalFormatting>
  <conditionalFormatting sqref="C45:C46 C49:C50">
    <cfRule type="cellIs" dxfId="10" priority="12" operator="notEqual">
      <formula>0</formula>
    </cfRule>
  </conditionalFormatting>
  <conditionalFormatting sqref="C44">
    <cfRule type="cellIs" dxfId="9" priority="11" operator="notEqual">
      <formula>0</formula>
    </cfRule>
  </conditionalFormatting>
  <conditionalFormatting sqref="C25:C27">
    <cfRule type="cellIs" dxfId="8" priority="5" operator="notEqual">
      <formula>0</formula>
    </cfRule>
  </conditionalFormatting>
  <conditionalFormatting sqref="C47:C48">
    <cfRule type="cellIs" dxfId="7" priority="10" operator="notEqual">
      <formula>0</formula>
    </cfRule>
  </conditionalFormatting>
  <conditionalFormatting sqref="C57 C52">
    <cfRule type="cellIs" dxfId="6" priority="9" operator="notEqual">
      <formula>0</formula>
    </cfRule>
  </conditionalFormatting>
  <conditionalFormatting sqref="C53 C55">
    <cfRule type="cellIs" dxfId="5" priority="8" operator="notEqual">
      <formula>0</formula>
    </cfRule>
  </conditionalFormatting>
  <conditionalFormatting sqref="C54">
    <cfRule type="cellIs" dxfId="4" priority="7" operator="notEqual">
      <formula>0</formula>
    </cfRule>
  </conditionalFormatting>
  <conditionalFormatting sqref="C56">
    <cfRule type="cellIs" dxfId="3" priority="6" operator="notEqual">
      <formula>0</formula>
    </cfRule>
  </conditionalFormatting>
  <conditionalFormatting sqref="C24">
    <cfRule type="cellIs" dxfId="2" priority="3" operator="notEqual">
      <formula>0</formula>
    </cfRule>
  </conditionalFormatting>
  <conditionalFormatting sqref="C30">
    <cfRule type="cellIs" dxfId="1" priority="2" operator="notEqual">
      <formula>0</formula>
    </cfRule>
  </conditionalFormatting>
  <conditionalFormatting sqref="J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3"/>
  <sheetViews>
    <sheetView view="pageBreakPreview" topLeftCell="O1" zoomScale="70" zoomScaleSheetLayoutView="70" workbookViewId="0">
      <selection activeCell="AD53" sqref="AD53"/>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7" style="19" customWidth="1"/>
    <col min="15" max="15" width="17.42578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4.28515625" style="19" customWidth="1"/>
    <col min="24" max="24" width="15.140625" style="19" customWidth="1"/>
    <col min="25" max="25" width="23.42578125" style="19" customWidth="1"/>
    <col min="26" max="26" width="7.7109375" style="19" customWidth="1"/>
    <col min="27" max="27" width="16" style="19" customWidth="1"/>
    <col min="28" max="28" width="17.7109375" style="19" customWidth="1"/>
    <col min="29" max="29" width="20.42578125" style="19" customWidth="1"/>
    <col min="30" max="30" width="14.28515625" style="19" customWidth="1"/>
    <col min="31" max="31" width="15.85546875" style="19" customWidth="1"/>
    <col min="32" max="32" width="15" style="19" customWidth="1"/>
    <col min="33" max="33" width="23.42578125" style="19" customWidth="1"/>
    <col min="34" max="35" width="11.855468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5" width="13.28515625" style="19" customWidth="1"/>
    <col min="46" max="46" width="17.140625" style="19" customWidth="1"/>
    <col min="47" max="47" width="10.7109375" style="19" customWidth="1"/>
    <col min="48" max="48" width="21.42578125" style="19" customWidth="1"/>
    <col min="49" max="16384" width="9.140625" style="19"/>
  </cols>
  <sheetData>
    <row r="1" spans="1:48" ht="18.75" x14ac:dyDescent="0.25">
      <c r="AV1" s="35" t="s">
        <v>66</v>
      </c>
    </row>
    <row r="2" spans="1:48" ht="18.75" x14ac:dyDescent="0.3">
      <c r="AV2" s="15" t="s">
        <v>8</v>
      </c>
    </row>
    <row r="3" spans="1:48" ht="18.75" x14ac:dyDescent="0.3">
      <c r="AV3" s="15" t="s">
        <v>65</v>
      </c>
    </row>
    <row r="4" spans="1:48" ht="18.75" x14ac:dyDescent="0.3">
      <c r="AV4" s="15"/>
    </row>
    <row r="5" spans="1:48" ht="18.75" customHeight="1" x14ac:dyDescent="0.25">
      <c r="A5" s="435" t="str">
        <f>'1. паспорт местоположение'!A5:C5</f>
        <v>Год раскрытия информации: 2022 год</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435"/>
      <c r="AF5" s="435"/>
      <c r="AG5" s="435"/>
      <c r="AH5" s="435"/>
      <c r="AI5" s="435"/>
      <c r="AJ5" s="435"/>
      <c r="AK5" s="435"/>
      <c r="AL5" s="435"/>
      <c r="AM5" s="435"/>
      <c r="AN5" s="435"/>
      <c r="AO5" s="435"/>
      <c r="AP5" s="435"/>
      <c r="AQ5" s="435"/>
      <c r="AR5" s="435"/>
      <c r="AS5" s="435"/>
      <c r="AT5" s="435"/>
      <c r="AU5" s="435"/>
      <c r="AV5" s="435"/>
    </row>
    <row r="6" spans="1:48" ht="18.75" x14ac:dyDescent="0.3">
      <c r="AV6" s="15"/>
    </row>
    <row r="7" spans="1:48" ht="18.75" x14ac:dyDescent="0.25">
      <c r="A7" s="443" t="s">
        <v>7</v>
      </c>
      <c r="B7" s="443"/>
      <c r="C7" s="443"/>
      <c r="D7" s="443"/>
      <c r="E7" s="443"/>
      <c r="F7" s="443"/>
      <c r="G7" s="443"/>
      <c r="H7" s="443"/>
      <c r="I7" s="443"/>
      <c r="J7" s="443"/>
      <c r="K7" s="443"/>
      <c r="L7" s="443"/>
      <c r="M7" s="443"/>
      <c r="N7" s="443"/>
      <c r="O7" s="443"/>
      <c r="P7" s="443"/>
      <c r="Q7" s="443"/>
      <c r="R7" s="443"/>
      <c r="S7" s="443"/>
      <c r="T7" s="443"/>
      <c r="U7" s="443"/>
      <c r="V7" s="443"/>
      <c r="W7" s="443"/>
      <c r="X7" s="443"/>
      <c r="Y7" s="443"/>
      <c r="Z7" s="443"/>
      <c r="AA7" s="443"/>
      <c r="AB7" s="443"/>
      <c r="AC7" s="443"/>
      <c r="AD7" s="443"/>
      <c r="AE7" s="443"/>
      <c r="AF7" s="443"/>
      <c r="AG7" s="443"/>
      <c r="AH7" s="443"/>
      <c r="AI7" s="443"/>
      <c r="AJ7" s="443"/>
      <c r="AK7" s="443"/>
      <c r="AL7" s="443"/>
      <c r="AM7" s="443"/>
      <c r="AN7" s="443"/>
      <c r="AO7" s="443"/>
      <c r="AP7" s="443"/>
      <c r="AQ7" s="443"/>
      <c r="AR7" s="443"/>
      <c r="AS7" s="443"/>
      <c r="AT7" s="443"/>
      <c r="AU7" s="443"/>
      <c r="AV7" s="443"/>
    </row>
    <row r="8" spans="1:48" ht="18.75" x14ac:dyDescent="0.25">
      <c r="A8" s="443"/>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c r="AB8" s="443"/>
      <c r="AC8" s="443"/>
      <c r="AD8" s="443"/>
      <c r="AE8" s="443"/>
      <c r="AF8" s="443"/>
      <c r="AG8" s="443"/>
      <c r="AH8" s="443"/>
      <c r="AI8" s="443"/>
      <c r="AJ8" s="443"/>
      <c r="AK8" s="443"/>
      <c r="AL8" s="443"/>
      <c r="AM8" s="443"/>
      <c r="AN8" s="443"/>
      <c r="AO8" s="443"/>
      <c r="AP8" s="443"/>
      <c r="AQ8" s="443"/>
      <c r="AR8" s="443"/>
      <c r="AS8" s="443"/>
      <c r="AT8" s="443"/>
      <c r="AU8" s="443"/>
      <c r="AV8" s="443"/>
    </row>
    <row r="9" spans="1:48" x14ac:dyDescent="0.25">
      <c r="A9" s="444" t="str">
        <f>'1. паспорт местоположение'!A9:C9</f>
        <v>Акционерное общество "Янтарьэнерго" ДЗО  ПАО "Россети"</v>
      </c>
      <c r="B9" s="444"/>
      <c r="C9" s="444"/>
      <c r="D9" s="444"/>
      <c r="E9" s="444"/>
      <c r="F9" s="444"/>
      <c r="G9" s="444"/>
      <c r="H9" s="444"/>
      <c r="I9" s="444"/>
      <c r="J9" s="444"/>
      <c r="K9" s="444"/>
      <c r="L9" s="444"/>
      <c r="M9" s="444"/>
      <c r="N9" s="444"/>
      <c r="O9" s="444"/>
      <c r="P9" s="444"/>
      <c r="Q9" s="444"/>
      <c r="R9" s="444"/>
      <c r="S9" s="444"/>
      <c r="T9" s="444"/>
      <c r="U9" s="444"/>
      <c r="V9" s="444"/>
      <c r="W9" s="444"/>
      <c r="X9" s="444"/>
      <c r="Y9" s="444"/>
      <c r="Z9" s="444"/>
      <c r="AA9" s="444"/>
      <c r="AB9" s="444"/>
      <c r="AC9" s="444"/>
      <c r="AD9" s="444"/>
      <c r="AE9" s="444"/>
      <c r="AF9" s="444"/>
      <c r="AG9" s="444"/>
      <c r="AH9" s="444"/>
      <c r="AI9" s="444"/>
      <c r="AJ9" s="444"/>
      <c r="AK9" s="444"/>
      <c r="AL9" s="444"/>
      <c r="AM9" s="444"/>
      <c r="AN9" s="444"/>
      <c r="AO9" s="444"/>
      <c r="AP9" s="444"/>
      <c r="AQ9" s="444"/>
      <c r="AR9" s="444"/>
      <c r="AS9" s="444"/>
      <c r="AT9" s="444"/>
      <c r="AU9" s="444"/>
      <c r="AV9" s="444"/>
    </row>
    <row r="10" spans="1:48" ht="15.75" x14ac:dyDescent="0.25">
      <c r="A10" s="448" t="s">
        <v>6</v>
      </c>
      <c r="B10" s="448"/>
      <c r="C10" s="448"/>
      <c r="D10" s="448"/>
      <c r="E10" s="448"/>
      <c r="F10" s="448"/>
      <c r="G10" s="448"/>
      <c r="H10" s="448"/>
      <c r="I10" s="448"/>
      <c r="J10" s="448"/>
      <c r="K10" s="448"/>
      <c r="L10" s="448"/>
      <c r="M10" s="448"/>
      <c r="N10" s="448"/>
      <c r="O10" s="448"/>
      <c r="P10" s="448"/>
      <c r="Q10" s="448"/>
      <c r="R10" s="448"/>
      <c r="S10" s="448"/>
      <c r="T10" s="448"/>
      <c r="U10" s="448"/>
      <c r="V10" s="448"/>
      <c r="W10" s="448"/>
      <c r="X10" s="448"/>
      <c r="Y10" s="448"/>
      <c r="Z10" s="448"/>
      <c r="AA10" s="448"/>
      <c r="AB10" s="448"/>
      <c r="AC10" s="448"/>
      <c r="AD10" s="448"/>
      <c r="AE10" s="448"/>
      <c r="AF10" s="448"/>
      <c r="AG10" s="448"/>
      <c r="AH10" s="448"/>
      <c r="AI10" s="448"/>
      <c r="AJ10" s="448"/>
      <c r="AK10" s="448"/>
      <c r="AL10" s="448"/>
      <c r="AM10" s="448"/>
      <c r="AN10" s="448"/>
      <c r="AO10" s="448"/>
      <c r="AP10" s="448"/>
      <c r="AQ10" s="448"/>
      <c r="AR10" s="448"/>
      <c r="AS10" s="448"/>
      <c r="AT10" s="448"/>
      <c r="AU10" s="448"/>
      <c r="AV10" s="448"/>
    </row>
    <row r="11" spans="1:48" ht="18.75" x14ac:dyDescent="0.25">
      <c r="A11" s="44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c r="AB11" s="443"/>
      <c r="AC11" s="443"/>
      <c r="AD11" s="443"/>
      <c r="AE11" s="443"/>
      <c r="AF11" s="443"/>
      <c r="AG11" s="443"/>
      <c r="AH11" s="443"/>
      <c r="AI11" s="443"/>
      <c r="AJ11" s="443"/>
      <c r="AK11" s="443"/>
      <c r="AL11" s="443"/>
      <c r="AM11" s="443"/>
      <c r="AN11" s="443"/>
      <c r="AO11" s="443"/>
      <c r="AP11" s="443"/>
      <c r="AQ11" s="443"/>
      <c r="AR11" s="443"/>
      <c r="AS11" s="443"/>
      <c r="AT11" s="443"/>
      <c r="AU11" s="443"/>
      <c r="AV11" s="443"/>
    </row>
    <row r="12" spans="1:48" x14ac:dyDescent="0.25">
      <c r="A12" s="444" t="str">
        <f>'1. паспорт местоположение'!A12:C12</f>
        <v>F_48-НН</v>
      </c>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c r="AB12" s="444"/>
      <c r="AC12" s="444"/>
      <c r="AD12" s="444"/>
      <c r="AE12" s="444"/>
      <c r="AF12" s="444"/>
      <c r="AG12" s="444"/>
      <c r="AH12" s="444"/>
      <c r="AI12" s="444"/>
      <c r="AJ12" s="444"/>
      <c r="AK12" s="444"/>
      <c r="AL12" s="444"/>
      <c r="AM12" s="444"/>
      <c r="AN12" s="444"/>
      <c r="AO12" s="444"/>
      <c r="AP12" s="444"/>
      <c r="AQ12" s="444"/>
      <c r="AR12" s="444"/>
      <c r="AS12" s="444"/>
      <c r="AT12" s="444"/>
      <c r="AU12" s="444"/>
      <c r="AV12" s="444"/>
    </row>
    <row r="13" spans="1:48" ht="15.75" x14ac:dyDescent="0.25">
      <c r="A13" s="448" t="s">
        <v>5</v>
      </c>
      <c r="B13" s="448"/>
      <c r="C13" s="448"/>
      <c r="D13" s="448"/>
      <c r="E13" s="448"/>
      <c r="F13" s="448"/>
      <c r="G13" s="448"/>
      <c r="H13" s="448"/>
      <c r="I13" s="448"/>
      <c r="J13" s="448"/>
      <c r="K13" s="448"/>
      <c r="L13" s="448"/>
      <c r="M13" s="448"/>
      <c r="N13" s="448"/>
      <c r="O13" s="448"/>
      <c r="P13" s="448"/>
      <c r="Q13" s="448"/>
      <c r="R13" s="448"/>
      <c r="S13" s="448"/>
      <c r="T13" s="448"/>
      <c r="U13" s="448"/>
      <c r="V13" s="448"/>
      <c r="W13" s="448"/>
      <c r="X13" s="448"/>
      <c r="Y13" s="448"/>
      <c r="Z13" s="448"/>
      <c r="AA13" s="448"/>
      <c r="AB13" s="448"/>
      <c r="AC13" s="448"/>
      <c r="AD13" s="448"/>
      <c r="AE13" s="448"/>
      <c r="AF13" s="448"/>
      <c r="AG13" s="448"/>
      <c r="AH13" s="448"/>
      <c r="AI13" s="448"/>
      <c r="AJ13" s="448"/>
      <c r="AK13" s="448"/>
      <c r="AL13" s="448"/>
      <c r="AM13" s="448"/>
      <c r="AN13" s="448"/>
      <c r="AO13" s="448"/>
      <c r="AP13" s="448"/>
      <c r="AQ13" s="448"/>
      <c r="AR13" s="448"/>
      <c r="AS13" s="448"/>
      <c r="AT13" s="448"/>
      <c r="AU13" s="448"/>
      <c r="AV13" s="448"/>
    </row>
    <row r="14" spans="1:48" ht="18.75" x14ac:dyDescent="0.25">
      <c r="A14" s="449"/>
      <c r="B14" s="449"/>
      <c r="C14" s="449"/>
      <c r="D14" s="449"/>
      <c r="E14" s="449"/>
      <c r="F14" s="449"/>
      <c r="G14" s="449"/>
      <c r="H14" s="449"/>
      <c r="I14" s="449"/>
      <c r="J14" s="449"/>
      <c r="K14" s="449"/>
      <c r="L14" s="449"/>
      <c r="M14" s="449"/>
      <c r="N14" s="449"/>
      <c r="O14" s="449"/>
      <c r="P14" s="449"/>
      <c r="Q14" s="449"/>
      <c r="R14" s="449"/>
      <c r="S14" s="449"/>
      <c r="T14" s="449"/>
      <c r="U14" s="449"/>
      <c r="V14" s="449"/>
      <c r="W14" s="449"/>
      <c r="X14" s="449"/>
      <c r="Y14" s="449"/>
      <c r="Z14" s="449"/>
      <c r="AA14" s="449"/>
      <c r="AB14" s="449"/>
      <c r="AC14" s="449"/>
      <c r="AD14" s="449"/>
      <c r="AE14" s="449"/>
      <c r="AF14" s="449"/>
      <c r="AG14" s="449"/>
      <c r="AH14" s="449"/>
      <c r="AI14" s="449"/>
      <c r="AJ14" s="449"/>
      <c r="AK14" s="449"/>
      <c r="AL14" s="449"/>
      <c r="AM14" s="449"/>
      <c r="AN14" s="449"/>
      <c r="AO14" s="449"/>
      <c r="AP14" s="449"/>
      <c r="AQ14" s="449"/>
      <c r="AR14" s="449"/>
      <c r="AS14" s="449"/>
      <c r="AT14" s="449"/>
      <c r="AU14" s="449"/>
      <c r="AV14" s="449"/>
    </row>
    <row r="15" spans="1:48" x14ac:dyDescent="0.25">
      <c r="A15" s="444" t="str">
        <f>'1. паспорт местоположение'!A15</f>
        <v>Организация интеллектуальной системы учета электроэнергии (приобретение компонентов интеллектуальной системы учета, выполнение проектных, строительно-монтажных и пусконаладочных работ по модернизации / созданию интеллектуальной системы учета электроэнергии)</v>
      </c>
      <c r="B15" s="444"/>
      <c r="C15" s="444"/>
      <c r="D15" s="444"/>
      <c r="E15" s="444"/>
      <c r="F15" s="444"/>
      <c r="G15" s="444"/>
      <c r="H15" s="444"/>
      <c r="I15" s="444"/>
      <c r="J15" s="444"/>
      <c r="K15" s="444"/>
      <c r="L15" s="444"/>
      <c r="M15" s="444"/>
      <c r="N15" s="444"/>
      <c r="O15" s="444"/>
      <c r="P15" s="444"/>
      <c r="Q15" s="444"/>
      <c r="R15" s="444"/>
      <c r="S15" s="444"/>
      <c r="T15" s="444"/>
      <c r="U15" s="444"/>
      <c r="V15" s="444"/>
      <c r="W15" s="444"/>
      <c r="X15" s="444"/>
      <c r="Y15" s="444"/>
      <c r="Z15" s="444"/>
      <c r="AA15" s="444"/>
      <c r="AB15" s="444"/>
      <c r="AC15" s="444"/>
      <c r="AD15" s="444"/>
      <c r="AE15" s="444"/>
      <c r="AF15" s="444"/>
      <c r="AG15" s="444"/>
      <c r="AH15" s="444"/>
      <c r="AI15" s="444"/>
      <c r="AJ15" s="444"/>
      <c r="AK15" s="444"/>
      <c r="AL15" s="444"/>
      <c r="AM15" s="444"/>
      <c r="AN15" s="444"/>
      <c r="AO15" s="444"/>
      <c r="AP15" s="444"/>
      <c r="AQ15" s="444"/>
      <c r="AR15" s="444"/>
      <c r="AS15" s="444"/>
      <c r="AT15" s="444"/>
      <c r="AU15" s="444"/>
      <c r="AV15" s="444"/>
    </row>
    <row r="16" spans="1:48" ht="15.75" x14ac:dyDescent="0.25">
      <c r="A16" s="448" t="s">
        <v>4</v>
      </c>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D16" s="448"/>
      <c r="AE16" s="448"/>
      <c r="AF16" s="448"/>
      <c r="AG16" s="448"/>
      <c r="AH16" s="448"/>
      <c r="AI16" s="448"/>
      <c r="AJ16" s="448"/>
      <c r="AK16" s="448"/>
      <c r="AL16" s="448"/>
      <c r="AM16" s="448"/>
      <c r="AN16" s="448"/>
      <c r="AO16" s="448"/>
      <c r="AP16" s="448"/>
      <c r="AQ16" s="448"/>
      <c r="AR16" s="448"/>
      <c r="AS16" s="448"/>
      <c r="AT16" s="448"/>
      <c r="AU16" s="448"/>
      <c r="AV16" s="448"/>
    </row>
    <row r="17" spans="1:48" x14ac:dyDescent="0.25">
      <c r="A17" s="486"/>
      <c r="B17" s="486"/>
      <c r="C17" s="486"/>
      <c r="D17" s="486"/>
      <c r="E17" s="486"/>
      <c r="F17" s="486"/>
      <c r="G17" s="486"/>
      <c r="H17" s="486"/>
      <c r="I17" s="486"/>
      <c r="J17" s="486"/>
      <c r="K17" s="486"/>
      <c r="L17" s="486"/>
      <c r="M17" s="486"/>
      <c r="N17" s="486"/>
      <c r="O17" s="486"/>
      <c r="P17" s="486"/>
      <c r="Q17" s="486"/>
      <c r="R17" s="486"/>
      <c r="S17" s="486"/>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row>
    <row r="18" spans="1:48" ht="14.25" customHeight="1" x14ac:dyDescent="0.25">
      <c r="A18" s="486"/>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486"/>
      <c r="AB18" s="486"/>
      <c r="AC18" s="486"/>
      <c r="AD18" s="486"/>
      <c r="AE18" s="486"/>
      <c r="AF18" s="486"/>
      <c r="AG18" s="486"/>
      <c r="AH18" s="486"/>
      <c r="AI18" s="486"/>
      <c r="AJ18" s="486"/>
      <c r="AK18" s="486"/>
      <c r="AL18" s="486"/>
      <c r="AM18" s="486"/>
      <c r="AN18" s="486"/>
      <c r="AO18" s="486"/>
      <c r="AP18" s="486"/>
      <c r="AQ18" s="486"/>
      <c r="AR18" s="486"/>
      <c r="AS18" s="486"/>
      <c r="AT18" s="486"/>
      <c r="AU18" s="486"/>
      <c r="AV18" s="486"/>
    </row>
    <row r="19" spans="1:48" x14ac:dyDescent="0.25">
      <c r="A19" s="486"/>
      <c r="B19" s="486"/>
      <c r="C19" s="486"/>
      <c r="D19" s="486"/>
      <c r="E19" s="486"/>
      <c r="F19" s="486"/>
      <c r="G19" s="486"/>
      <c r="H19" s="486"/>
      <c r="I19" s="486"/>
      <c r="J19" s="486"/>
      <c r="K19" s="486"/>
      <c r="L19" s="486"/>
      <c r="M19" s="486"/>
      <c r="N19" s="486"/>
      <c r="O19" s="486"/>
      <c r="P19" s="486"/>
      <c r="Q19" s="486"/>
      <c r="R19" s="486"/>
      <c r="S19" s="486"/>
      <c r="T19" s="486"/>
      <c r="U19" s="486"/>
      <c r="V19" s="486"/>
      <c r="W19" s="486"/>
      <c r="X19" s="486"/>
      <c r="Y19" s="486"/>
      <c r="Z19" s="486"/>
      <c r="AA19" s="486"/>
      <c r="AB19" s="486"/>
      <c r="AC19" s="486"/>
      <c r="AD19" s="486"/>
      <c r="AE19" s="486"/>
      <c r="AF19" s="486"/>
      <c r="AG19" s="486"/>
      <c r="AH19" s="486"/>
      <c r="AI19" s="486"/>
      <c r="AJ19" s="486"/>
      <c r="AK19" s="486"/>
      <c r="AL19" s="486"/>
      <c r="AM19" s="486"/>
      <c r="AN19" s="486"/>
      <c r="AO19" s="486"/>
      <c r="AP19" s="486"/>
      <c r="AQ19" s="486"/>
      <c r="AR19" s="486"/>
      <c r="AS19" s="486"/>
      <c r="AT19" s="486"/>
      <c r="AU19" s="486"/>
      <c r="AV19" s="486"/>
    </row>
    <row r="20" spans="1:48" s="22" customFormat="1" x14ac:dyDescent="0.25">
      <c r="A20" s="480"/>
      <c r="B20" s="480"/>
      <c r="C20" s="480"/>
      <c r="D20" s="480"/>
      <c r="E20" s="480"/>
      <c r="F20" s="480"/>
      <c r="G20" s="480"/>
      <c r="H20" s="480"/>
      <c r="I20" s="480"/>
      <c r="J20" s="480"/>
      <c r="K20" s="480"/>
      <c r="L20" s="480"/>
      <c r="M20" s="480"/>
      <c r="N20" s="480"/>
      <c r="O20" s="480"/>
      <c r="P20" s="480"/>
      <c r="Q20" s="480"/>
      <c r="R20" s="480"/>
      <c r="S20" s="480"/>
      <c r="T20" s="480"/>
      <c r="U20" s="480"/>
      <c r="V20" s="480"/>
      <c r="W20" s="480"/>
      <c r="X20" s="480"/>
      <c r="Y20" s="480"/>
      <c r="Z20" s="480"/>
      <c r="AA20" s="480"/>
      <c r="AB20" s="480"/>
      <c r="AC20" s="480"/>
      <c r="AD20" s="480"/>
      <c r="AE20" s="480"/>
      <c r="AF20" s="480"/>
      <c r="AG20" s="480"/>
      <c r="AH20" s="480"/>
      <c r="AI20" s="480"/>
      <c r="AJ20" s="480"/>
      <c r="AK20" s="480"/>
      <c r="AL20" s="480"/>
      <c r="AM20" s="480"/>
      <c r="AN20" s="480"/>
      <c r="AO20" s="480"/>
      <c r="AP20" s="480"/>
      <c r="AQ20" s="480"/>
      <c r="AR20" s="480"/>
      <c r="AS20" s="480"/>
      <c r="AT20" s="480"/>
      <c r="AU20" s="480"/>
      <c r="AV20" s="480"/>
    </row>
    <row r="21" spans="1:48" s="22" customFormat="1" x14ac:dyDescent="0.25">
      <c r="A21" s="543" t="s">
        <v>502</v>
      </c>
      <c r="B21" s="543"/>
      <c r="C21" s="543"/>
      <c r="D21" s="543"/>
      <c r="E21" s="543"/>
      <c r="F21" s="543"/>
      <c r="G21" s="543"/>
      <c r="H21" s="543"/>
      <c r="I21" s="543"/>
      <c r="J21" s="543"/>
      <c r="K21" s="543"/>
      <c r="L21" s="543"/>
      <c r="M21" s="543"/>
      <c r="N21" s="543"/>
      <c r="O21" s="543"/>
      <c r="P21" s="543"/>
      <c r="Q21" s="543"/>
      <c r="R21" s="543"/>
      <c r="S21" s="543"/>
      <c r="T21" s="543"/>
      <c r="U21" s="543"/>
      <c r="V21" s="543"/>
      <c r="W21" s="543"/>
      <c r="X21" s="543"/>
      <c r="Y21" s="543"/>
      <c r="Z21" s="543"/>
      <c r="AA21" s="543"/>
      <c r="AB21" s="543"/>
      <c r="AC21" s="543"/>
      <c r="AD21" s="543"/>
      <c r="AE21" s="543"/>
      <c r="AF21" s="543"/>
      <c r="AG21" s="543"/>
      <c r="AH21" s="543"/>
      <c r="AI21" s="543"/>
      <c r="AJ21" s="543"/>
      <c r="AK21" s="543"/>
      <c r="AL21" s="543"/>
      <c r="AM21" s="543"/>
      <c r="AN21" s="543"/>
      <c r="AO21" s="543"/>
      <c r="AP21" s="543"/>
      <c r="AQ21" s="543"/>
      <c r="AR21" s="543"/>
      <c r="AS21" s="543"/>
      <c r="AT21" s="543"/>
      <c r="AU21" s="543"/>
      <c r="AV21" s="543"/>
    </row>
    <row r="22" spans="1:48" s="22" customFormat="1" ht="58.5" customHeight="1" x14ac:dyDescent="0.25">
      <c r="A22" s="536" t="s">
        <v>50</v>
      </c>
      <c r="B22" s="545" t="s">
        <v>22</v>
      </c>
      <c r="C22" s="536" t="s">
        <v>49</v>
      </c>
      <c r="D22" s="536" t="s">
        <v>48</v>
      </c>
      <c r="E22" s="548" t="s">
        <v>512</v>
      </c>
      <c r="F22" s="549"/>
      <c r="G22" s="549"/>
      <c r="H22" s="549"/>
      <c r="I22" s="549"/>
      <c r="J22" s="549"/>
      <c r="K22" s="549"/>
      <c r="L22" s="550"/>
      <c r="M22" s="536" t="s">
        <v>47</v>
      </c>
      <c r="N22" s="536" t="s">
        <v>46</v>
      </c>
      <c r="O22" s="536" t="s">
        <v>45</v>
      </c>
      <c r="P22" s="531" t="s">
        <v>253</v>
      </c>
      <c r="Q22" s="531" t="s">
        <v>44</v>
      </c>
      <c r="R22" s="531" t="s">
        <v>43</v>
      </c>
      <c r="S22" s="531" t="s">
        <v>42</v>
      </c>
      <c r="T22" s="531"/>
      <c r="U22" s="551" t="s">
        <v>41</v>
      </c>
      <c r="V22" s="551" t="s">
        <v>40</v>
      </c>
      <c r="W22" s="531" t="s">
        <v>39</v>
      </c>
      <c r="X22" s="531" t="s">
        <v>38</v>
      </c>
      <c r="Y22" s="531" t="s">
        <v>37</v>
      </c>
      <c r="Z22" s="538" t="s">
        <v>36</v>
      </c>
      <c r="AA22" s="531" t="s">
        <v>35</v>
      </c>
      <c r="AB22" s="531" t="s">
        <v>34</v>
      </c>
      <c r="AC22" s="531" t="s">
        <v>33</v>
      </c>
      <c r="AD22" s="531" t="s">
        <v>32</v>
      </c>
      <c r="AE22" s="531" t="s">
        <v>31</v>
      </c>
      <c r="AF22" s="531" t="s">
        <v>30</v>
      </c>
      <c r="AG22" s="531"/>
      <c r="AH22" s="531"/>
      <c r="AI22" s="531"/>
      <c r="AJ22" s="531"/>
      <c r="AK22" s="531"/>
      <c r="AL22" s="531" t="s">
        <v>29</v>
      </c>
      <c r="AM22" s="531"/>
      <c r="AN22" s="531"/>
      <c r="AO22" s="531"/>
      <c r="AP22" s="531" t="s">
        <v>28</v>
      </c>
      <c r="AQ22" s="531"/>
      <c r="AR22" s="531" t="s">
        <v>27</v>
      </c>
      <c r="AS22" s="531" t="s">
        <v>26</v>
      </c>
      <c r="AT22" s="531" t="s">
        <v>25</v>
      </c>
      <c r="AU22" s="531" t="s">
        <v>24</v>
      </c>
      <c r="AV22" s="531" t="s">
        <v>23</v>
      </c>
    </row>
    <row r="23" spans="1:48" s="22" customFormat="1" ht="64.5" customHeight="1" x14ac:dyDescent="0.25">
      <c r="A23" s="544"/>
      <c r="B23" s="546"/>
      <c r="C23" s="544"/>
      <c r="D23" s="544"/>
      <c r="E23" s="539" t="s">
        <v>21</v>
      </c>
      <c r="F23" s="532" t="s">
        <v>127</v>
      </c>
      <c r="G23" s="532" t="s">
        <v>126</v>
      </c>
      <c r="H23" s="532" t="s">
        <v>125</v>
      </c>
      <c r="I23" s="534" t="s">
        <v>423</v>
      </c>
      <c r="J23" s="534" t="s">
        <v>424</v>
      </c>
      <c r="K23" s="534" t="s">
        <v>425</v>
      </c>
      <c r="L23" s="532" t="s">
        <v>650</v>
      </c>
      <c r="M23" s="544"/>
      <c r="N23" s="544"/>
      <c r="O23" s="544"/>
      <c r="P23" s="531"/>
      <c r="Q23" s="531"/>
      <c r="R23" s="531"/>
      <c r="S23" s="541" t="s">
        <v>2</v>
      </c>
      <c r="T23" s="541" t="s">
        <v>9</v>
      </c>
      <c r="U23" s="551"/>
      <c r="V23" s="551"/>
      <c r="W23" s="531"/>
      <c r="X23" s="531"/>
      <c r="Y23" s="531"/>
      <c r="Z23" s="531"/>
      <c r="AA23" s="531"/>
      <c r="AB23" s="531"/>
      <c r="AC23" s="531"/>
      <c r="AD23" s="531"/>
      <c r="AE23" s="531"/>
      <c r="AF23" s="531" t="s">
        <v>20</v>
      </c>
      <c r="AG23" s="531"/>
      <c r="AH23" s="531" t="s">
        <v>19</v>
      </c>
      <c r="AI23" s="531"/>
      <c r="AJ23" s="536" t="s">
        <v>18</v>
      </c>
      <c r="AK23" s="536" t="s">
        <v>17</v>
      </c>
      <c r="AL23" s="536" t="s">
        <v>16</v>
      </c>
      <c r="AM23" s="536" t="s">
        <v>15</v>
      </c>
      <c r="AN23" s="536" t="s">
        <v>14</v>
      </c>
      <c r="AO23" s="536" t="s">
        <v>13</v>
      </c>
      <c r="AP23" s="536" t="s">
        <v>12</v>
      </c>
      <c r="AQ23" s="552" t="s">
        <v>9</v>
      </c>
      <c r="AR23" s="531"/>
      <c r="AS23" s="531"/>
      <c r="AT23" s="531"/>
      <c r="AU23" s="531"/>
      <c r="AV23" s="531"/>
    </row>
    <row r="24" spans="1:48" s="22" customFormat="1" ht="96.75" customHeight="1" x14ac:dyDescent="0.25">
      <c r="A24" s="537"/>
      <c r="B24" s="547"/>
      <c r="C24" s="537"/>
      <c r="D24" s="537"/>
      <c r="E24" s="540"/>
      <c r="F24" s="533"/>
      <c r="G24" s="533"/>
      <c r="H24" s="533"/>
      <c r="I24" s="535"/>
      <c r="J24" s="535"/>
      <c r="K24" s="535"/>
      <c r="L24" s="533"/>
      <c r="M24" s="537"/>
      <c r="N24" s="537"/>
      <c r="O24" s="537"/>
      <c r="P24" s="531"/>
      <c r="Q24" s="531"/>
      <c r="R24" s="531"/>
      <c r="S24" s="542"/>
      <c r="T24" s="542"/>
      <c r="U24" s="551"/>
      <c r="V24" s="551"/>
      <c r="W24" s="531"/>
      <c r="X24" s="531"/>
      <c r="Y24" s="531"/>
      <c r="Z24" s="531"/>
      <c r="AA24" s="531"/>
      <c r="AB24" s="531"/>
      <c r="AC24" s="531"/>
      <c r="AD24" s="531"/>
      <c r="AE24" s="531"/>
      <c r="AF24" s="138" t="s">
        <v>11</v>
      </c>
      <c r="AG24" s="138" t="s">
        <v>10</v>
      </c>
      <c r="AH24" s="139" t="s">
        <v>2</v>
      </c>
      <c r="AI24" s="139" t="s">
        <v>9</v>
      </c>
      <c r="AJ24" s="537"/>
      <c r="AK24" s="537"/>
      <c r="AL24" s="537"/>
      <c r="AM24" s="537"/>
      <c r="AN24" s="537"/>
      <c r="AO24" s="537"/>
      <c r="AP24" s="537"/>
      <c r="AQ24" s="553"/>
      <c r="AR24" s="531"/>
      <c r="AS24" s="531"/>
      <c r="AT24" s="531"/>
      <c r="AU24" s="531"/>
      <c r="AV24" s="531"/>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16" customFormat="1" ht="102" x14ac:dyDescent="0.2">
      <c r="A26" s="303">
        <v>1</v>
      </c>
      <c r="B26" s="311" t="s">
        <v>636</v>
      </c>
      <c r="C26" s="304" t="s">
        <v>62</v>
      </c>
      <c r="D26" s="325" t="str">
        <f>'6.1. Паспорт сетевой график'!D53</f>
        <v>31.10.2014
31.10.2015
31.10.2016
31.10.2017
31.10.2019
31.10.2020</v>
      </c>
      <c r="E26" s="312"/>
      <c r="F26" s="312"/>
      <c r="G26" s="312"/>
      <c r="H26" s="312"/>
      <c r="I26" s="312"/>
      <c r="J26" s="312"/>
      <c r="K26" s="312"/>
      <c r="L26" s="312">
        <f>'6.2. Паспорт фин осв ввод'!D57</f>
        <v>0</v>
      </c>
      <c r="M26" s="311" t="s">
        <v>652</v>
      </c>
      <c r="N26" s="311" t="s">
        <v>700</v>
      </c>
      <c r="O26" s="311" t="s">
        <v>636</v>
      </c>
      <c r="P26" s="314"/>
      <c r="Q26" s="313"/>
      <c r="R26" s="314"/>
      <c r="S26" s="311" t="s">
        <v>638</v>
      </c>
      <c r="T26" s="311" t="s">
        <v>639</v>
      </c>
      <c r="U26" s="312" t="s">
        <v>542</v>
      </c>
      <c r="V26" s="312" t="s">
        <v>542</v>
      </c>
      <c r="W26" s="312" t="s">
        <v>701</v>
      </c>
      <c r="X26" s="314">
        <v>9835.9274999999998</v>
      </c>
      <c r="Y26" s="313"/>
      <c r="Z26" s="329"/>
      <c r="AA26" s="314"/>
      <c r="AB26" s="314">
        <v>9835.9274999999998</v>
      </c>
      <c r="AC26" s="312" t="s">
        <v>701</v>
      </c>
      <c r="AD26" s="314">
        <v>11606.39445</v>
      </c>
      <c r="AE26" s="314"/>
      <c r="AF26" s="312" t="s">
        <v>542</v>
      </c>
      <c r="AG26" s="313" t="s">
        <v>542</v>
      </c>
      <c r="AH26" s="315" t="s">
        <v>542</v>
      </c>
      <c r="AI26" s="315" t="s">
        <v>542</v>
      </c>
      <c r="AJ26" s="315" t="s">
        <v>542</v>
      </c>
      <c r="AK26" s="315" t="s">
        <v>542</v>
      </c>
      <c r="AL26" s="313"/>
      <c r="AM26" s="313"/>
      <c r="AN26" s="315"/>
      <c r="AO26" s="313"/>
      <c r="AP26" s="315">
        <v>41523</v>
      </c>
      <c r="AQ26" s="315">
        <v>41523</v>
      </c>
      <c r="AR26" s="315">
        <v>41523</v>
      </c>
      <c r="AS26" s="315">
        <v>41523</v>
      </c>
      <c r="AT26" s="315">
        <v>41670</v>
      </c>
      <c r="AU26" s="313"/>
      <c r="AV26" s="313"/>
    </row>
    <row r="27" spans="1:48" s="316" customFormat="1" ht="102" x14ac:dyDescent="0.2">
      <c r="A27" s="309">
        <v>2</v>
      </c>
      <c r="B27" s="311" t="s">
        <v>636</v>
      </c>
      <c r="C27" s="304" t="s">
        <v>62</v>
      </c>
      <c r="D27" s="326" t="str">
        <f>D26</f>
        <v>31.10.2014
31.10.2015
31.10.2016
31.10.2017
31.10.2019
31.10.2020</v>
      </c>
      <c r="E27" s="323"/>
      <c r="F27" s="323"/>
      <c r="G27" s="323"/>
      <c r="H27" s="323"/>
      <c r="I27" s="323"/>
      <c r="J27" s="323"/>
      <c r="K27" s="323"/>
      <c r="L27" s="323">
        <f>L26</f>
        <v>0</v>
      </c>
      <c r="M27" s="321" t="s">
        <v>703</v>
      </c>
      <c r="N27" s="321" t="s">
        <v>699</v>
      </c>
      <c r="O27" s="321" t="s">
        <v>636</v>
      </c>
      <c r="P27" s="322">
        <v>25346.33</v>
      </c>
      <c r="Q27" s="321" t="s">
        <v>704</v>
      </c>
      <c r="R27" s="322">
        <v>25346.33</v>
      </c>
      <c r="S27" s="321" t="s">
        <v>638</v>
      </c>
      <c r="T27" s="321" t="s">
        <v>639</v>
      </c>
      <c r="U27" s="323">
        <v>16</v>
      </c>
      <c r="V27" s="323">
        <v>9</v>
      </c>
      <c r="W27" s="323" t="s">
        <v>705</v>
      </c>
      <c r="X27" s="322">
        <v>24702.92</v>
      </c>
      <c r="Y27" s="321" t="s">
        <v>705</v>
      </c>
      <c r="Z27" s="328">
        <v>1</v>
      </c>
      <c r="AA27" s="322"/>
      <c r="AB27" s="322">
        <v>25049.87</v>
      </c>
      <c r="AC27" s="323" t="s">
        <v>701</v>
      </c>
      <c r="AD27" s="322">
        <v>29558.84187</v>
      </c>
      <c r="AE27" s="322">
        <v>29558.84187</v>
      </c>
      <c r="AF27" s="323">
        <v>40464</v>
      </c>
      <c r="AG27" s="321" t="s">
        <v>640</v>
      </c>
      <c r="AH27" s="324">
        <v>41767</v>
      </c>
      <c r="AI27" s="324">
        <v>41767</v>
      </c>
      <c r="AJ27" s="324">
        <v>41799</v>
      </c>
      <c r="AK27" s="324">
        <v>41877</v>
      </c>
      <c r="AL27" s="321"/>
      <c r="AM27" s="321"/>
      <c r="AN27" s="324"/>
      <c r="AO27" s="321"/>
      <c r="AP27" s="324">
        <v>41884</v>
      </c>
      <c r="AQ27" s="324">
        <v>41884</v>
      </c>
      <c r="AR27" s="324">
        <v>41884</v>
      </c>
      <c r="AS27" s="324">
        <v>41884</v>
      </c>
      <c r="AT27" s="324">
        <v>42004</v>
      </c>
      <c r="AU27" s="321"/>
      <c r="AV27" s="321"/>
    </row>
    <row r="28" spans="1:48" s="316" customFormat="1" ht="25.5" x14ac:dyDescent="0.2">
      <c r="A28" s="309"/>
      <c r="B28" s="310"/>
      <c r="C28" s="310"/>
      <c r="D28" s="327"/>
      <c r="E28" s="309"/>
      <c r="F28" s="309"/>
      <c r="G28" s="309"/>
      <c r="H28" s="309"/>
      <c r="I28" s="309"/>
      <c r="J28" s="309"/>
      <c r="K28" s="309"/>
      <c r="L28" s="309"/>
      <c r="M28" s="321"/>
      <c r="N28" s="321"/>
      <c r="O28" s="321"/>
      <c r="P28" s="322"/>
      <c r="Q28" s="321"/>
      <c r="R28" s="322"/>
      <c r="S28" s="321"/>
      <c r="T28" s="321"/>
      <c r="U28" s="323"/>
      <c r="V28" s="323"/>
      <c r="W28" s="321" t="s">
        <v>706</v>
      </c>
      <c r="X28" s="322">
        <v>24585.94</v>
      </c>
      <c r="Y28" s="321" t="s">
        <v>706</v>
      </c>
      <c r="Z28" s="328"/>
      <c r="AA28" s="322"/>
      <c r="AB28" s="322"/>
      <c r="AC28" s="322"/>
      <c r="AD28" s="322"/>
      <c r="AE28" s="322"/>
      <c r="AF28" s="323"/>
      <c r="AG28" s="321"/>
      <c r="AH28" s="324"/>
      <c r="AI28" s="324"/>
      <c r="AJ28" s="324"/>
      <c r="AK28" s="324"/>
      <c r="AL28" s="321"/>
      <c r="AM28" s="321"/>
      <c r="AN28" s="324"/>
      <c r="AO28" s="321"/>
      <c r="AP28" s="324"/>
      <c r="AQ28" s="324"/>
      <c r="AR28" s="324"/>
      <c r="AS28" s="324"/>
      <c r="AT28" s="324"/>
      <c r="AU28" s="321"/>
      <c r="AV28" s="321"/>
    </row>
    <row r="29" spans="1:48" s="316" customFormat="1" ht="12.75" x14ac:dyDescent="0.2">
      <c r="A29" s="309"/>
      <c r="B29" s="310"/>
      <c r="C29" s="310"/>
      <c r="D29" s="327"/>
      <c r="E29" s="309"/>
      <c r="F29" s="309"/>
      <c r="G29" s="309"/>
      <c r="H29" s="309"/>
      <c r="I29" s="309"/>
      <c r="J29" s="309"/>
      <c r="K29" s="309"/>
      <c r="L29" s="309"/>
      <c r="M29" s="321"/>
      <c r="N29" s="321"/>
      <c r="O29" s="321"/>
      <c r="P29" s="322"/>
      <c r="Q29" s="321"/>
      <c r="R29" s="322"/>
      <c r="S29" s="321"/>
      <c r="T29" s="321"/>
      <c r="U29" s="323"/>
      <c r="V29" s="323"/>
      <c r="W29" s="321" t="s">
        <v>707</v>
      </c>
      <c r="X29" s="322">
        <v>24800</v>
      </c>
      <c r="Y29" s="321" t="s">
        <v>707</v>
      </c>
      <c r="Z29" s="328"/>
      <c r="AA29" s="322"/>
      <c r="AB29" s="322"/>
      <c r="AC29" s="322"/>
      <c r="AD29" s="322"/>
      <c r="AE29" s="322"/>
      <c r="AF29" s="323"/>
      <c r="AG29" s="321"/>
      <c r="AH29" s="324"/>
      <c r="AI29" s="324"/>
      <c r="AJ29" s="324"/>
      <c r="AK29" s="324"/>
      <c r="AL29" s="321"/>
      <c r="AM29" s="321"/>
      <c r="AN29" s="324"/>
      <c r="AO29" s="321"/>
      <c r="AP29" s="324"/>
      <c r="AQ29" s="324"/>
      <c r="AR29" s="324"/>
      <c r="AS29" s="324"/>
      <c r="AT29" s="324"/>
      <c r="AU29" s="321"/>
      <c r="AV29" s="321"/>
    </row>
    <row r="30" spans="1:48" s="316" customFormat="1" ht="25.5" x14ac:dyDescent="0.2">
      <c r="A30" s="309"/>
      <c r="B30" s="310"/>
      <c r="C30" s="310"/>
      <c r="D30" s="327"/>
      <c r="E30" s="309"/>
      <c r="F30" s="309"/>
      <c r="G30" s="309"/>
      <c r="H30" s="309"/>
      <c r="I30" s="309"/>
      <c r="J30" s="309"/>
      <c r="K30" s="309"/>
      <c r="L30" s="309"/>
      <c r="M30" s="321"/>
      <c r="N30" s="321"/>
      <c r="O30" s="321"/>
      <c r="P30" s="322"/>
      <c r="Q30" s="321"/>
      <c r="R30" s="322"/>
      <c r="S30" s="321"/>
      <c r="T30" s="321"/>
      <c r="U30" s="323"/>
      <c r="V30" s="323"/>
      <c r="W30" s="321" t="s">
        <v>708</v>
      </c>
      <c r="X30" s="322">
        <v>25244.23</v>
      </c>
      <c r="Y30" s="321" t="s">
        <v>708</v>
      </c>
      <c r="Z30" s="328"/>
      <c r="AA30" s="322"/>
      <c r="AB30" s="322"/>
      <c r="AC30" s="322"/>
      <c r="AD30" s="322"/>
      <c r="AE30" s="322"/>
      <c r="AF30" s="323"/>
      <c r="AG30" s="321"/>
      <c r="AH30" s="324"/>
      <c r="AI30" s="324"/>
      <c r="AJ30" s="324"/>
      <c r="AK30" s="324"/>
      <c r="AL30" s="321"/>
      <c r="AM30" s="321"/>
      <c r="AN30" s="324"/>
      <c r="AO30" s="321"/>
      <c r="AP30" s="324"/>
      <c r="AQ30" s="324"/>
      <c r="AR30" s="324"/>
      <c r="AS30" s="324"/>
      <c r="AT30" s="324"/>
      <c r="AU30" s="321"/>
      <c r="AV30" s="321"/>
    </row>
    <row r="31" spans="1:48" s="316" customFormat="1" ht="12.75" x14ac:dyDescent="0.2">
      <c r="A31" s="309"/>
      <c r="B31" s="310"/>
      <c r="C31" s="310"/>
      <c r="D31" s="327"/>
      <c r="E31" s="309"/>
      <c r="F31" s="309"/>
      <c r="G31" s="309"/>
      <c r="H31" s="309"/>
      <c r="I31" s="309"/>
      <c r="J31" s="309"/>
      <c r="K31" s="309"/>
      <c r="L31" s="309"/>
      <c r="M31" s="321"/>
      <c r="N31" s="321"/>
      <c r="O31" s="321"/>
      <c r="P31" s="322"/>
      <c r="Q31" s="321"/>
      <c r="R31" s="322"/>
      <c r="S31" s="321"/>
      <c r="T31" s="321"/>
      <c r="U31" s="323"/>
      <c r="V31" s="323"/>
      <c r="W31" s="321" t="s">
        <v>709</v>
      </c>
      <c r="X31" s="322">
        <v>25219.59</v>
      </c>
      <c r="Y31" s="321"/>
      <c r="Z31" s="328"/>
      <c r="AA31" s="322">
        <v>25090.6</v>
      </c>
      <c r="AB31" s="322"/>
      <c r="AC31" s="322"/>
      <c r="AD31" s="322"/>
      <c r="AE31" s="322"/>
      <c r="AF31" s="323"/>
      <c r="AG31" s="321"/>
      <c r="AH31" s="324"/>
      <c r="AI31" s="324"/>
      <c r="AJ31" s="324"/>
      <c r="AK31" s="324"/>
      <c r="AL31" s="321"/>
      <c r="AM31" s="321"/>
      <c r="AN31" s="324"/>
      <c r="AO31" s="321"/>
      <c r="AP31" s="324"/>
      <c r="AQ31" s="324"/>
      <c r="AR31" s="324"/>
      <c r="AS31" s="324"/>
      <c r="AT31" s="324"/>
      <c r="AU31" s="321"/>
      <c r="AV31" s="321"/>
    </row>
    <row r="32" spans="1:48" s="316" customFormat="1" ht="12.75" x14ac:dyDescent="0.2">
      <c r="A32" s="309"/>
      <c r="B32" s="310"/>
      <c r="C32" s="310"/>
      <c r="D32" s="327"/>
      <c r="E32" s="309"/>
      <c r="F32" s="309"/>
      <c r="G32" s="309"/>
      <c r="H32" s="309"/>
      <c r="I32" s="309"/>
      <c r="J32" s="309"/>
      <c r="K32" s="309"/>
      <c r="L32" s="309"/>
      <c r="M32" s="321"/>
      <c r="N32" s="321"/>
      <c r="O32" s="321"/>
      <c r="P32" s="322"/>
      <c r="Q32" s="321"/>
      <c r="R32" s="322"/>
      <c r="S32" s="321"/>
      <c r="T32" s="321"/>
      <c r="U32" s="323"/>
      <c r="V32" s="323"/>
      <c r="W32" s="321" t="s">
        <v>701</v>
      </c>
      <c r="X32" s="322">
        <v>25092.86</v>
      </c>
      <c r="Y32" s="321"/>
      <c r="Z32" s="328"/>
      <c r="AA32" s="322">
        <v>25049.87</v>
      </c>
      <c r="AB32" s="322"/>
      <c r="AC32" s="322"/>
      <c r="AD32" s="322"/>
      <c r="AE32" s="322"/>
      <c r="AF32" s="323"/>
      <c r="AG32" s="321"/>
      <c r="AH32" s="324"/>
      <c r="AI32" s="324"/>
      <c r="AJ32" s="324"/>
      <c r="AK32" s="324"/>
      <c r="AL32" s="321"/>
      <c r="AM32" s="321"/>
      <c r="AN32" s="324"/>
      <c r="AO32" s="321"/>
      <c r="AP32" s="324"/>
      <c r="AQ32" s="324"/>
      <c r="AR32" s="324"/>
      <c r="AS32" s="324"/>
      <c r="AT32" s="324"/>
      <c r="AU32" s="321"/>
      <c r="AV32" s="321"/>
    </row>
    <row r="33" spans="1:49" s="316" customFormat="1" ht="12.75" x14ac:dyDescent="0.2">
      <c r="A33" s="309"/>
      <c r="B33" s="310"/>
      <c r="C33" s="310"/>
      <c r="D33" s="327"/>
      <c r="E33" s="309"/>
      <c r="F33" s="309"/>
      <c r="G33" s="309"/>
      <c r="H33" s="309"/>
      <c r="I33" s="309"/>
      <c r="J33" s="309"/>
      <c r="K33" s="309"/>
      <c r="L33" s="309"/>
      <c r="M33" s="321"/>
      <c r="N33" s="321"/>
      <c r="O33" s="321"/>
      <c r="P33" s="322"/>
      <c r="Q33" s="321"/>
      <c r="R33" s="322"/>
      <c r="S33" s="321"/>
      <c r="T33" s="321"/>
      <c r="U33" s="323"/>
      <c r="V33" s="323"/>
      <c r="W33" s="321" t="s">
        <v>710</v>
      </c>
      <c r="X33" s="322">
        <v>24289.86</v>
      </c>
      <c r="Y33" s="321" t="s">
        <v>710</v>
      </c>
      <c r="Z33" s="328"/>
      <c r="AA33" s="322"/>
      <c r="AB33" s="322"/>
      <c r="AC33" s="322"/>
      <c r="AD33" s="322"/>
      <c r="AE33" s="322"/>
      <c r="AF33" s="323"/>
      <c r="AG33" s="321"/>
      <c r="AH33" s="324"/>
      <c r="AI33" s="324"/>
      <c r="AJ33" s="324"/>
      <c r="AK33" s="324"/>
      <c r="AL33" s="321"/>
      <c r="AM33" s="321"/>
      <c r="AN33" s="324"/>
      <c r="AO33" s="321"/>
      <c r="AP33" s="324"/>
      <c r="AQ33" s="324"/>
      <c r="AR33" s="324"/>
      <c r="AS33" s="324"/>
      <c r="AT33" s="324"/>
      <c r="AU33" s="321"/>
      <c r="AV33" s="321"/>
    </row>
    <row r="34" spans="1:49" s="316" customFormat="1" ht="38.25" x14ac:dyDescent="0.2">
      <c r="A34" s="309"/>
      <c r="B34" s="310"/>
      <c r="C34" s="310"/>
      <c r="D34" s="327"/>
      <c r="E34" s="309"/>
      <c r="F34" s="309"/>
      <c r="G34" s="309"/>
      <c r="H34" s="309"/>
      <c r="I34" s="309"/>
      <c r="J34" s="309"/>
      <c r="K34" s="309"/>
      <c r="L34" s="309"/>
      <c r="M34" s="321"/>
      <c r="N34" s="321"/>
      <c r="O34" s="321"/>
      <c r="P34" s="322"/>
      <c r="Q34" s="321"/>
      <c r="R34" s="322"/>
      <c r="S34" s="321"/>
      <c r="T34" s="321"/>
      <c r="U34" s="323"/>
      <c r="V34" s="323"/>
      <c r="W34" s="321" t="s">
        <v>711</v>
      </c>
      <c r="X34" s="322">
        <v>23361.67</v>
      </c>
      <c r="Y34" s="321" t="s">
        <v>711</v>
      </c>
      <c r="Z34" s="328"/>
      <c r="AA34" s="322"/>
      <c r="AB34" s="322"/>
      <c r="AC34" s="322"/>
      <c r="AD34" s="322"/>
      <c r="AE34" s="322"/>
      <c r="AF34" s="323"/>
      <c r="AG34" s="321"/>
      <c r="AH34" s="324"/>
      <c r="AI34" s="324"/>
      <c r="AJ34" s="324"/>
      <c r="AK34" s="324"/>
      <c r="AL34" s="321"/>
      <c r="AM34" s="321"/>
      <c r="AN34" s="324"/>
      <c r="AO34" s="321"/>
      <c r="AP34" s="324"/>
      <c r="AQ34" s="324"/>
      <c r="AR34" s="324"/>
      <c r="AS34" s="324"/>
      <c r="AT34" s="324"/>
      <c r="AU34" s="321"/>
      <c r="AV34" s="321"/>
    </row>
    <row r="35" spans="1:49" s="316" customFormat="1" ht="12.75" x14ac:dyDescent="0.2">
      <c r="A35" s="309"/>
      <c r="B35" s="310"/>
      <c r="C35" s="310"/>
      <c r="D35" s="327"/>
      <c r="E35" s="309"/>
      <c r="F35" s="309"/>
      <c r="G35" s="309"/>
      <c r="H35" s="309"/>
      <c r="I35" s="309"/>
      <c r="J35" s="309"/>
      <c r="K35" s="309"/>
      <c r="L35" s="309"/>
      <c r="M35" s="321"/>
      <c r="N35" s="321"/>
      <c r="O35" s="321"/>
      <c r="P35" s="322"/>
      <c r="Q35" s="321"/>
      <c r="R35" s="322"/>
      <c r="S35" s="321"/>
      <c r="T35" s="321"/>
      <c r="U35" s="323"/>
      <c r="V35" s="323"/>
      <c r="W35" s="321" t="s">
        <v>712</v>
      </c>
      <c r="X35" s="322">
        <v>24839.4</v>
      </c>
      <c r="Y35" s="321" t="s">
        <v>712</v>
      </c>
      <c r="Z35" s="328"/>
      <c r="AA35" s="322"/>
      <c r="AB35" s="322"/>
      <c r="AC35" s="322"/>
      <c r="AD35" s="322"/>
      <c r="AE35" s="322"/>
      <c r="AF35" s="323"/>
      <c r="AG35" s="321"/>
      <c r="AH35" s="324"/>
      <c r="AI35" s="324"/>
      <c r="AJ35" s="324"/>
      <c r="AK35" s="324"/>
      <c r="AL35" s="321"/>
      <c r="AM35" s="321"/>
      <c r="AN35" s="324"/>
      <c r="AO35" s="321"/>
      <c r="AP35" s="324"/>
      <c r="AQ35" s="324"/>
      <c r="AR35" s="324"/>
      <c r="AS35" s="324"/>
      <c r="AT35" s="324"/>
      <c r="AU35" s="321"/>
      <c r="AV35" s="321"/>
    </row>
    <row r="36" spans="1:49" s="316" customFormat="1" ht="76.5" x14ac:dyDescent="0.2">
      <c r="A36" s="309">
        <v>3</v>
      </c>
      <c r="B36" s="311" t="s">
        <v>636</v>
      </c>
      <c r="C36" s="304" t="s">
        <v>62</v>
      </c>
      <c r="D36" s="326" t="str">
        <f>D27</f>
        <v>31.10.2014
31.10.2015
31.10.2016
31.10.2017
31.10.2019
31.10.2020</v>
      </c>
      <c r="E36" s="323"/>
      <c r="F36" s="323"/>
      <c r="G36" s="323"/>
      <c r="H36" s="323"/>
      <c r="I36" s="323"/>
      <c r="J36" s="323"/>
      <c r="K36" s="323"/>
      <c r="L36" s="323">
        <f>L27</f>
        <v>0</v>
      </c>
      <c r="M36" s="321" t="s">
        <v>703</v>
      </c>
      <c r="N36" s="321" t="s">
        <v>635</v>
      </c>
      <c r="O36" s="321" t="s">
        <v>636</v>
      </c>
      <c r="P36" s="322">
        <v>64244.02</v>
      </c>
      <c r="Q36" s="321" t="s">
        <v>637</v>
      </c>
      <c r="R36" s="322">
        <v>60163</v>
      </c>
      <c r="S36" s="321" t="s">
        <v>639</v>
      </c>
      <c r="T36" s="321" t="s">
        <v>639</v>
      </c>
      <c r="U36" s="323">
        <v>6</v>
      </c>
      <c r="V36" s="323">
        <v>6</v>
      </c>
      <c r="W36" s="321" t="s">
        <v>713</v>
      </c>
      <c r="X36" s="322">
        <v>59861.849000000002</v>
      </c>
      <c r="Y36" s="321"/>
      <c r="Z36" s="328">
        <v>1</v>
      </c>
      <c r="AA36" s="322">
        <v>59801.993000000002</v>
      </c>
      <c r="AB36" s="322">
        <v>59801.99</v>
      </c>
      <c r="AC36" s="322" t="s">
        <v>713</v>
      </c>
      <c r="AD36" s="322">
        <v>75136.367129999999</v>
      </c>
      <c r="AE36" s="322">
        <v>59801.99</v>
      </c>
      <c r="AF36" s="323">
        <v>44715</v>
      </c>
      <c r="AG36" s="321" t="s">
        <v>640</v>
      </c>
      <c r="AH36" s="324">
        <v>42096</v>
      </c>
      <c r="AI36" s="324">
        <v>42096</v>
      </c>
      <c r="AJ36" s="324">
        <v>42097</v>
      </c>
      <c r="AK36" s="324">
        <v>42146</v>
      </c>
      <c r="AL36" s="321"/>
      <c r="AM36" s="321"/>
      <c r="AN36" s="324"/>
      <c r="AO36" s="321"/>
      <c r="AP36" s="324">
        <v>42177</v>
      </c>
      <c r="AQ36" s="324">
        <v>42177</v>
      </c>
      <c r="AR36" s="324">
        <v>42177</v>
      </c>
      <c r="AS36" s="324">
        <v>42177</v>
      </c>
      <c r="AT36" s="324">
        <v>42735</v>
      </c>
      <c r="AU36" s="321"/>
      <c r="AV36" s="321" t="s">
        <v>720</v>
      </c>
    </row>
    <row r="37" spans="1:49" s="316" customFormat="1" ht="25.5" x14ac:dyDescent="0.2">
      <c r="A37" s="309"/>
      <c r="B37" s="310"/>
      <c r="C37" s="310"/>
      <c r="D37" s="327"/>
      <c r="E37" s="309"/>
      <c r="F37" s="309"/>
      <c r="G37" s="309"/>
      <c r="H37" s="309"/>
      <c r="I37" s="309"/>
      <c r="J37" s="309"/>
      <c r="K37" s="309"/>
      <c r="L37" s="309"/>
      <c r="M37" s="321"/>
      <c r="N37" s="321"/>
      <c r="O37" s="321"/>
      <c r="P37" s="322"/>
      <c r="Q37" s="321"/>
      <c r="R37" s="322"/>
      <c r="S37" s="321"/>
      <c r="T37" s="321"/>
      <c r="U37" s="323"/>
      <c r="V37" s="323"/>
      <c r="W37" s="321" t="s">
        <v>714</v>
      </c>
      <c r="X37" s="322">
        <v>46128.928999999996</v>
      </c>
      <c r="Y37" s="321" t="s">
        <v>714</v>
      </c>
      <c r="Z37" s="328"/>
      <c r="AA37" s="322"/>
      <c r="AB37" s="322"/>
      <c r="AC37" s="322"/>
      <c r="AD37" s="322"/>
      <c r="AE37" s="322"/>
      <c r="AF37" s="323"/>
      <c r="AG37" s="321"/>
      <c r="AH37" s="324"/>
      <c r="AI37" s="324"/>
      <c r="AJ37" s="324"/>
      <c r="AK37" s="324"/>
      <c r="AL37" s="321"/>
      <c r="AM37" s="321"/>
      <c r="AN37" s="324"/>
      <c r="AO37" s="321"/>
      <c r="AP37" s="324"/>
      <c r="AQ37" s="324"/>
      <c r="AR37" s="324"/>
      <c r="AS37" s="324"/>
      <c r="AT37" s="324"/>
      <c r="AU37" s="321"/>
      <c r="AV37" s="321"/>
    </row>
    <row r="38" spans="1:49" s="316" customFormat="1" ht="12.75" x14ac:dyDescent="0.2">
      <c r="A38" s="309"/>
      <c r="B38" s="310"/>
      <c r="C38" s="310"/>
      <c r="D38" s="327"/>
      <c r="E38" s="309"/>
      <c r="F38" s="309"/>
      <c r="G38" s="309"/>
      <c r="H38" s="309"/>
      <c r="I38" s="309"/>
      <c r="J38" s="309"/>
      <c r="K38" s="309"/>
      <c r="L38" s="309"/>
      <c r="M38" s="321"/>
      <c r="N38" s="321"/>
      <c r="O38" s="321"/>
      <c r="P38" s="322"/>
      <c r="Q38" s="321"/>
      <c r="R38" s="322"/>
      <c r="S38" s="321"/>
      <c r="T38" s="321"/>
      <c r="U38" s="323"/>
      <c r="V38" s="323"/>
      <c r="W38" s="321" t="s">
        <v>715</v>
      </c>
      <c r="X38" s="322">
        <v>55303.031999999999</v>
      </c>
      <c r="Y38" s="321" t="s">
        <v>715</v>
      </c>
      <c r="Z38" s="328"/>
      <c r="AA38" s="322"/>
      <c r="AB38" s="322"/>
      <c r="AC38" s="322"/>
      <c r="AD38" s="322"/>
      <c r="AE38" s="322"/>
      <c r="AF38" s="323"/>
      <c r="AG38" s="321"/>
      <c r="AH38" s="324"/>
      <c r="AI38" s="324"/>
      <c r="AJ38" s="324"/>
      <c r="AK38" s="324"/>
      <c r="AL38" s="321"/>
      <c r="AM38" s="321"/>
      <c r="AN38" s="324"/>
      <c r="AO38" s="321"/>
      <c r="AP38" s="324"/>
      <c r="AQ38" s="324"/>
      <c r="AR38" s="324"/>
      <c r="AS38" s="324"/>
      <c r="AT38" s="324"/>
      <c r="AU38" s="321"/>
      <c r="AV38" s="321"/>
    </row>
    <row r="39" spans="1:49" s="316" customFormat="1" ht="12.75" x14ac:dyDescent="0.2">
      <c r="A39" s="309"/>
      <c r="B39" s="310"/>
      <c r="C39" s="310"/>
      <c r="D39" s="327"/>
      <c r="E39" s="309"/>
      <c r="F39" s="309"/>
      <c r="G39" s="309"/>
      <c r="H39" s="309"/>
      <c r="I39" s="309"/>
      <c r="J39" s="309"/>
      <c r="K39" s="309"/>
      <c r="L39" s="309"/>
      <c r="M39" s="321"/>
      <c r="N39" s="321"/>
      <c r="O39" s="321"/>
      <c r="P39" s="322"/>
      <c r="Q39" s="321"/>
      <c r="R39" s="322"/>
      <c r="S39" s="321"/>
      <c r="T39" s="321"/>
      <c r="U39" s="323"/>
      <c r="V39" s="323"/>
      <c r="W39" s="321" t="s">
        <v>716</v>
      </c>
      <c r="X39" s="322">
        <v>60008.451999999997</v>
      </c>
      <c r="Y39" s="321"/>
      <c r="Z39" s="328"/>
      <c r="AA39" s="322">
        <v>59832.139000000003</v>
      </c>
      <c r="AB39" s="322"/>
      <c r="AC39" s="322"/>
      <c r="AD39" s="322"/>
      <c r="AE39" s="322"/>
      <c r="AF39" s="323"/>
      <c r="AG39" s="321"/>
      <c r="AH39" s="324"/>
      <c r="AI39" s="324"/>
      <c r="AJ39" s="324"/>
      <c r="AK39" s="324"/>
      <c r="AL39" s="321"/>
      <c r="AM39" s="321"/>
      <c r="AN39" s="324"/>
      <c r="AO39" s="321"/>
      <c r="AP39" s="324"/>
      <c r="AQ39" s="324"/>
      <c r="AR39" s="324"/>
      <c r="AS39" s="324"/>
      <c r="AT39" s="324"/>
      <c r="AU39" s="321"/>
      <c r="AV39" s="321"/>
    </row>
    <row r="40" spans="1:49" s="316" customFormat="1" ht="12.75" x14ac:dyDescent="0.2">
      <c r="A40" s="309"/>
      <c r="B40" s="310"/>
      <c r="C40" s="310"/>
      <c r="D40" s="327"/>
      <c r="E40" s="309"/>
      <c r="F40" s="309"/>
      <c r="G40" s="309"/>
      <c r="H40" s="309"/>
      <c r="I40" s="309"/>
      <c r="J40" s="309"/>
      <c r="K40" s="309"/>
      <c r="L40" s="309"/>
      <c r="M40" s="321"/>
      <c r="N40" s="321"/>
      <c r="O40" s="321"/>
      <c r="P40" s="322"/>
      <c r="Q40" s="321"/>
      <c r="R40" s="322"/>
      <c r="S40" s="321"/>
      <c r="T40" s="321"/>
      <c r="U40" s="323"/>
      <c r="V40" s="323"/>
      <c r="W40" s="321" t="s">
        <v>717</v>
      </c>
      <c r="X40" s="322">
        <v>60043.002999999997</v>
      </c>
      <c r="Y40" s="321"/>
      <c r="Z40" s="328"/>
      <c r="AA40" s="322">
        <v>60043.002999999997</v>
      </c>
      <c r="AB40" s="322"/>
      <c r="AC40" s="322"/>
      <c r="AD40" s="322"/>
      <c r="AE40" s="322"/>
      <c r="AF40" s="323"/>
      <c r="AG40" s="321"/>
      <c r="AH40" s="324"/>
      <c r="AI40" s="324"/>
      <c r="AJ40" s="324"/>
      <c r="AK40" s="324"/>
      <c r="AL40" s="321"/>
      <c r="AM40" s="321"/>
      <c r="AN40" s="324"/>
      <c r="AO40" s="321"/>
      <c r="AP40" s="324"/>
      <c r="AQ40" s="324"/>
      <c r="AR40" s="324"/>
      <c r="AS40" s="324"/>
      <c r="AT40" s="324"/>
      <c r="AU40" s="321"/>
      <c r="AV40" s="321"/>
    </row>
    <row r="41" spans="1:49" s="316" customFormat="1" ht="12.75" x14ac:dyDescent="0.2">
      <c r="A41" s="309"/>
      <c r="B41" s="310"/>
      <c r="C41" s="310"/>
      <c r="D41" s="327"/>
      <c r="E41" s="309"/>
      <c r="F41" s="309"/>
      <c r="G41" s="309"/>
      <c r="H41" s="309"/>
      <c r="I41" s="309"/>
      <c r="J41" s="309"/>
      <c r="K41" s="309"/>
      <c r="L41" s="309"/>
      <c r="M41" s="321"/>
      <c r="N41" s="321"/>
      <c r="O41" s="321"/>
      <c r="P41" s="322"/>
      <c r="Q41" s="321"/>
      <c r="R41" s="322"/>
      <c r="S41" s="321"/>
      <c r="T41" s="321"/>
      <c r="U41" s="323"/>
      <c r="V41" s="323"/>
      <c r="W41" s="321" t="s">
        <v>718</v>
      </c>
      <c r="X41" s="322">
        <v>60000</v>
      </c>
      <c r="Y41" s="321" t="s">
        <v>718</v>
      </c>
      <c r="Z41" s="328"/>
      <c r="AA41" s="322"/>
      <c r="AB41" s="322"/>
      <c r="AC41" s="322"/>
      <c r="AD41" s="322"/>
      <c r="AE41" s="322"/>
      <c r="AF41" s="323"/>
      <c r="AG41" s="321"/>
      <c r="AH41" s="324"/>
      <c r="AI41" s="324"/>
      <c r="AJ41" s="324"/>
      <c r="AK41" s="324"/>
      <c r="AL41" s="321"/>
      <c r="AM41" s="321"/>
      <c r="AN41" s="324"/>
      <c r="AO41" s="321"/>
      <c r="AP41" s="324"/>
      <c r="AQ41" s="324"/>
      <c r="AR41" s="324"/>
      <c r="AS41" s="324"/>
      <c r="AT41" s="324"/>
      <c r="AU41" s="321"/>
      <c r="AV41" s="321"/>
    </row>
    <row r="42" spans="1:49" s="316" customFormat="1" ht="102" x14ac:dyDescent="0.2">
      <c r="A42" s="303">
        <v>4</v>
      </c>
      <c r="B42" s="304" t="s">
        <v>522</v>
      </c>
      <c r="C42" s="304" t="s">
        <v>62</v>
      </c>
      <c r="D42" s="325" t="str">
        <f>D36</f>
        <v>31.10.2014
31.10.2015
31.10.2016
31.10.2017
31.10.2019
31.10.2020</v>
      </c>
      <c r="E42" s="312"/>
      <c r="F42" s="312"/>
      <c r="G42" s="312"/>
      <c r="H42" s="312"/>
      <c r="I42" s="312"/>
      <c r="J42" s="312"/>
      <c r="K42" s="312"/>
      <c r="L42" s="312">
        <f>L36</f>
        <v>0</v>
      </c>
      <c r="M42" s="311" t="s">
        <v>652</v>
      </c>
      <c r="N42" s="311" t="s">
        <v>590</v>
      </c>
      <c r="O42" s="311" t="s">
        <v>653</v>
      </c>
      <c r="P42" s="317">
        <v>42310</v>
      </c>
      <c r="Q42" s="311" t="s">
        <v>654</v>
      </c>
      <c r="R42" s="317">
        <v>42310</v>
      </c>
      <c r="S42" s="311" t="s">
        <v>655</v>
      </c>
      <c r="T42" s="311" t="s">
        <v>656</v>
      </c>
      <c r="U42" s="318" t="s">
        <v>59</v>
      </c>
      <c r="V42" s="318">
        <v>4</v>
      </c>
      <c r="W42" s="311" t="s">
        <v>657</v>
      </c>
      <c r="X42" s="317">
        <v>32846.14</v>
      </c>
      <c r="Y42" s="311"/>
      <c r="Z42" s="330" t="s">
        <v>62</v>
      </c>
      <c r="AA42" s="317">
        <v>32846.14</v>
      </c>
      <c r="AB42" s="317">
        <v>32846.14</v>
      </c>
      <c r="AC42" s="317" t="s">
        <v>657</v>
      </c>
      <c r="AD42" s="317">
        <v>39415.368000000002</v>
      </c>
      <c r="AE42" s="317"/>
      <c r="AF42" s="311" t="s">
        <v>658</v>
      </c>
      <c r="AG42" s="319" t="s">
        <v>659</v>
      </c>
      <c r="AH42" s="319">
        <v>43578</v>
      </c>
      <c r="AI42" s="319">
        <v>43578</v>
      </c>
      <c r="AJ42" s="319">
        <v>43606</v>
      </c>
      <c r="AK42" s="319">
        <v>43615</v>
      </c>
      <c r="AL42" s="319"/>
      <c r="AM42" s="311"/>
      <c r="AN42" s="319"/>
      <c r="AO42" s="311"/>
      <c r="AP42" s="319">
        <v>43627</v>
      </c>
      <c r="AQ42" s="319">
        <v>43627</v>
      </c>
      <c r="AR42" s="319">
        <v>43627</v>
      </c>
      <c r="AS42" s="319">
        <v>43627</v>
      </c>
      <c r="AT42" s="319">
        <v>43841</v>
      </c>
      <c r="AU42" s="311"/>
      <c r="AV42" s="311" t="s">
        <v>722</v>
      </c>
      <c r="AW42" s="320"/>
    </row>
    <row r="43" spans="1:49" s="316" customFormat="1" ht="12.75" x14ac:dyDescent="0.2">
      <c r="A43" s="309"/>
      <c r="B43" s="310"/>
      <c r="C43" s="310"/>
      <c r="D43" s="327"/>
      <c r="E43" s="309"/>
      <c r="F43" s="309"/>
      <c r="G43" s="309"/>
      <c r="H43" s="309"/>
      <c r="I43" s="309"/>
      <c r="J43" s="309"/>
      <c r="K43" s="309"/>
      <c r="L43" s="309"/>
      <c r="M43" s="321"/>
      <c r="N43" s="321"/>
      <c r="O43" s="321"/>
      <c r="P43" s="322"/>
      <c r="Q43" s="321"/>
      <c r="R43" s="322"/>
      <c r="S43" s="321"/>
      <c r="T43" s="321"/>
      <c r="U43" s="323"/>
      <c r="V43" s="323"/>
      <c r="W43" s="321" t="s">
        <v>660</v>
      </c>
      <c r="X43" s="322"/>
      <c r="Y43" s="321"/>
      <c r="Z43" s="328"/>
      <c r="AA43" s="322"/>
      <c r="AB43" s="322"/>
      <c r="AC43" s="322"/>
      <c r="AD43" s="322"/>
      <c r="AE43" s="322"/>
      <c r="AF43" s="323"/>
      <c r="AG43" s="321"/>
      <c r="AH43" s="324"/>
      <c r="AI43" s="324"/>
      <c r="AJ43" s="324"/>
      <c r="AK43" s="324"/>
      <c r="AL43" s="321"/>
      <c r="AM43" s="321"/>
      <c r="AN43" s="324"/>
      <c r="AO43" s="321"/>
      <c r="AP43" s="324"/>
      <c r="AQ43" s="324"/>
      <c r="AR43" s="324"/>
      <c r="AS43" s="324"/>
      <c r="AT43" s="324"/>
      <c r="AU43" s="321"/>
      <c r="AV43" s="321"/>
      <c r="AW43" s="320"/>
    </row>
    <row r="44" spans="1:49" s="316" customFormat="1" ht="12.75" x14ac:dyDescent="0.2">
      <c r="A44" s="309"/>
      <c r="B44" s="310"/>
      <c r="C44" s="310"/>
      <c r="D44" s="327"/>
      <c r="E44" s="309"/>
      <c r="F44" s="309"/>
      <c r="G44" s="309"/>
      <c r="H44" s="309"/>
      <c r="I44" s="309"/>
      <c r="J44" s="309"/>
      <c r="K44" s="309"/>
      <c r="L44" s="309"/>
      <c r="M44" s="321"/>
      <c r="N44" s="321"/>
      <c r="O44" s="321"/>
      <c r="P44" s="322"/>
      <c r="Q44" s="321"/>
      <c r="R44" s="322"/>
      <c r="S44" s="321"/>
      <c r="T44" s="321"/>
      <c r="U44" s="323"/>
      <c r="V44" s="323"/>
      <c r="W44" s="321" t="s">
        <v>661</v>
      </c>
      <c r="X44" s="322"/>
      <c r="Y44" s="321" t="s">
        <v>661</v>
      </c>
      <c r="Z44" s="328"/>
      <c r="AA44" s="322"/>
      <c r="AB44" s="322"/>
      <c r="AC44" s="322"/>
      <c r="AD44" s="322"/>
      <c r="AE44" s="322"/>
      <c r="AF44" s="323"/>
      <c r="AG44" s="321"/>
      <c r="AH44" s="324"/>
      <c r="AI44" s="324"/>
      <c r="AJ44" s="324"/>
      <c r="AK44" s="324"/>
      <c r="AL44" s="321"/>
      <c r="AM44" s="321"/>
      <c r="AN44" s="324"/>
      <c r="AO44" s="321"/>
      <c r="AP44" s="324"/>
      <c r="AQ44" s="324"/>
      <c r="AR44" s="324"/>
      <c r="AS44" s="324"/>
      <c r="AT44" s="324"/>
      <c r="AU44" s="321"/>
      <c r="AV44" s="321"/>
      <c r="AW44" s="320"/>
    </row>
    <row r="45" spans="1:49" s="316" customFormat="1" ht="25.5" x14ac:dyDescent="0.2">
      <c r="A45" s="309"/>
      <c r="B45" s="310"/>
      <c r="C45" s="310"/>
      <c r="D45" s="327"/>
      <c r="E45" s="309"/>
      <c r="F45" s="309"/>
      <c r="G45" s="309"/>
      <c r="H45" s="309"/>
      <c r="I45" s="309"/>
      <c r="J45" s="309"/>
      <c r="K45" s="309"/>
      <c r="L45" s="309"/>
      <c r="M45" s="321"/>
      <c r="N45" s="321"/>
      <c r="O45" s="321"/>
      <c r="P45" s="322"/>
      <c r="Q45" s="321"/>
      <c r="R45" s="322"/>
      <c r="S45" s="321"/>
      <c r="T45" s="321"/>
      <c r="U45" s="323"/>
      <c r="V45" s="323"/>
      <c r="W45" s="321" t="s">
        <v>662</v>
      </c>
      <c r="X45" s="322"/>
      <c r="Y45" s="321" t="s">
        <v>662</v>
      </c>
      <c r="Z45" s="328"/>
      <c r="AA45" s="322"/>
      <c r="AB45" s="322"/>
      <c r="AC45" s="322"/>
      <c r="AD45" s="322"/>
      <c r="AE45" s="322"/>
      <c r="AF45" s="323"/>
      <c r="AG45" s="321"/>
      <c r="AH45" s="324"/>
      <c r="AI45" s="324"/>
      <c r="AJ45" s="324"/>
      <c r="AK45" s="324"/>
      <c r="AL45" s="321"/>
      <c r="AM45" s="321"/>
      <c r="AN45" s="324"/>
      <c r="AO45" s="321"/>
      <c r="AP45" s="324"/>
      <c r="AQ45" s="324"/>
      <c r="AR45" s="324"/>
      <c r="AS45" s="324"/>
      <c r="AT45" s="324"/>
      <c r="AU45" s="321"/>
      <c r="AV45" s="321"/>
      <c r="AW45" s="320"/>
    </row>
    <row r="46" spans="1:49" s="316" customFormat="1" ht="102" x14ac:dyDescent="0.2">
      <c r="A46" s="303">
        <v>5</v>
      </c>
      <c r="B46" s="304" t="s">
        <v>522</v>
      </c>
      <c r="C46" s="304" t="s">
        <v>62</v>
      </c>
      <c r="D46" s="325" t="str">
        <f>D42</f>
        <v>31.10.2014
31.10.2015
31.10.2016
31.10.2017
31.10.2019
31.10.2020</v>
      </c>
      <c r="E46" s="312"/>
      <c r="F46" s="312"/>
      <c r="G46" s="312"/>
      <c r="H46" s="312"/>
      <c r="I46" s="312"/>
      <c r="J46" s="312"/>
      <c r="K46" s="312"/>
      <c r="L46" s="312">
        <v>2538</v>
      </c>
      <c r="M46" s="311" t="s">
        <v>652</v>
      </c>
      <c r="N46" s="311" t="s">
        <v>590</v>
      </c>
      <c r="O46" s="311" t="s">
        <v>653</v>
      </c>
      <c r="P46" s="317">
        <v>52343</v>
      </c>
      <c r="Q46" s="311" t="s">
        <v>654</v>
      </c>
      <c r="R46" s="317">
        <v>52343</v>
      </c>
      <c r="S46" s="311" t="s">
        <v>655</v>
      </c>
      <c r="T46" s="311" t="s">
        <v>656</v>
      </c>
      <c r="U46" s="318" t="s">
        <v>59</v>
      </c>
      <c r="V46" s="318" t="s">
        <v>59</v>
      </c>
      <c r="W46" s="311" t="s">
        <v>657</v>
      </c>
      <c r="X46" s="317">
        <v>52343</v>
      </c>
      <c r="Y46" s="311"/>
      <c r="Z46" s="330" t="s">
        <v>732</v>
      </c>
      <c r="AA46" s="317">
        <v>37519.46</v>
      </c>
      <c r="AB46" s="317">
        <v>37519.46</v>
      </c>
      <c r="AC46" s="317" t="s">
        <v>657</v>
      </c>
      <c r="AD46" s="317">
        <v>45023.35</v>
      </c>
      <c r="AE46" s="317">
        <v>45023.35</v>
      </c>
      <c r="AF46" s="311" t="s">
        <v>733</v>
      </c>
      <c r="AG46" s="319" t="s">
        <v>659</v>
      </c>
      <c r="AH46" s="319">
        <v>43789</v>
      </c>
      <c r="AI46" s="319">
        <v>43789</v>
      </c>
      <c r="AJ46" s="319">
        <v>43829</v>
      </c>
      <c r="AK46" s="319">
        <v>43847</v>
      </c>
      <c r="AL46" s="319"/>
      <c r="AM46" s="311"/>
      <c r="AN46" s="319"/>
      <c r="AO46" s="311"/>
      <c r="AP46" s="319" t="s">
        <v>734</v>
      </c>
      <c r="AQ46" s="319" t="s">
        <v>734</v>
      </c>
      <c r="AR46" s="319" t="s">
        <v>734</v>
      </c>
      <c r="AS46" s="319" t="s">
        <v>734</v>
      </c>
      <c r="AT46" s="319">
        <v>44016</v>
      </c>
      <c r="AU46" s="311"/>
      <c r="AV46" s="311"/>
      <c r="AW46" s="320"/>
    </row>
    <row r="47" spans="1:49" s="316" customFormat="1" ht="27" customHeight="1" x14ac:dyDescent="0.2">
      <c r="A47" s="303"/>
      <c r="B47" s="304"/>
      <c r="C47" s="304"/>
      <c r="D47" s="325"/>
      <c r="E47" s="312"/>
      <c r="F47" s="312"/>
      <c r="G47" s="312"/>
      <c r="H47" s="312"/>
      <c r="I47" s="312"/>
      <c r="J47" s="312"/>
      <c r="K47" s="312"/>
      <c r="L47" s="312"/>
      <c r="M47" s="311"/>
      <c r="N47" s="311"/>
      <c r="O47" s="311"/>
      <c r="P47" s="317"/>
      <c r="Q47" s="311"/>
      <c r="R47" s="317"/>
      <c r="S47" s="311"/>
      <c r="T47" s="311"/>
      <c r="U47" s="318"/>
      <c r="V47" s="318"/>
      <c r="W47" s="311" t="s">
        <v>729</v>
      </c>
      <c r="X47" s="317">
        <v>51189.57</v>
      </c>
      <c r="Y47" s="311"/>
      <c r="Z47" s="330"/>
      <c r="AA47" s="317">
        <v>37496.65</v>
      </c>
      <c r="AB47" s="317"/>
      <c r="AC47" s="317"/>
      <c r="AD47" s="317"/>
      <c r="AE47" s="317"/>
      <c r="AF47" s="311"/>
      <c r="AG47" s="319"/>
      <c r="AH47" s="319"/>
      <c r="AI47" s="319"/>
      <c r="AJ47" s="319"/>
      <c r="AK47" s="319"/>
      <c r="AL47" s="319"/>
      <c r="AM47" s="311"/>
      <c r="AN47" s="319"/>
      <c r="AO47" s="311"/>
      <c r="AP47" s="319"/>
      <c r="AQ47" s="319"/>
      <c r="AR47" s="319"/>
      <c r="AS47" s="319"/>
      <c r="AT47" s="319"/>
      <c r="AU47" s="311"/>
      <c r="AV47" s="311"/>
      <c r="AW47" s="320"/>
    </row>
    <row r="48" spans="1:49" s="316" customFormat="1" ht="27" customHeight="1" x14ac:dyDescent="0.2">
      <c r="A48" s="303"/>
      <c r="B48" s="304"/>
      <c r="C48" s="304"/>
      <c r="D48" s="325"/>
      <c r="E48" s="312"/>
      <c r="F48" s="312"/>
      <c r="G48" s="312"/>
      <c r="H48" s="312"/>
      <c r="I48" s="312"/>
      <c r="J48" s="312"/>
      <c r="K48" s="312"/>
      <c r="L48" s="312"/>
      <c r="M48" s="311"/>
      <c r="N48" s="311"/>
      <c r="O48" s="311"/>
      <c r="P48" s="317"/>
      <c r="Q48" s="311"/>
      <c r="R48" s="317"/>
      <c r="S48" s="311"/>
      <c r="T48" s="311"/>
      <c r="U48" s="318"/>
      <c r="V48" s="318"/>
      <c r="W48" s="311" t="s">
        <v>730</v>
      </c>
      <c r="X48" s="317">
        <v>50875.39</v>
      </c>
      <c r="Y48" s="311"/>
      <c r="Z48" s="330"/>
      <c r="AA48" s="317">
        <v>49608.34</v>
      </c>
      <c r="AB48" s="317"/>
      <c r="AC48" s="317"/>
      <c r="AD48" s="317"/>
      <c r="AE48" s="317"/>
      <c r="AF48" s="311"/>
      <c r="AG48" s="319"/>
      <c r="AH48" s="319"/>
      <c r="AI48" s="319"/>
      <c r="AJ48" s="319"/>
      <c r="AK48" s="319"/>
      <c r="AL48" s="319"/>
      <c r="AM48" s="311"/>
      <c r="AN48" s="319"/>
      <c r="AO48" s="311"/>
      <c r="AP48" s="319"/>
      <c r="AQ48" s="319"/>
      <c r="AR48" s="319"/>
      <c r="AS48" s="319"/>
      <c r="AT48" s="319"/>
      <c r="AU48" s="311"/>
      <c r="AV48" s="311"/>
      <c r="AW48" s="320"/>
    </row>
    <row r="49" spans="1:49" s="316" customFormat="1" ht="27" customHeight="1" x14ac:dyDescent="0.2">
      <c r="A49" s="303"/>
      <c r="B49" s="304"/>
      <c r="C49" s="304"/>
      <c r="D49" s="325"/>
      <c r="E49" s="312"/>
      <c r="F49" s="312"/>
      <c r="G49" s="312"/>
      <c r="H49" s="312"/>
      <c r="I49" s="312"/>
      <c r="J49" s="312"/>
      <c r="K49" s="312"/>
      <c r="L49" s="312"/>
      <c r="M49" s="311"/>
      <c r="N49" s="311"/>
      <c r="O49" s="311"/>
      <c r="P49" s="317"/>
      <c r="Q49" s="311"/>
      <c r="R49" s="317"/>
      <c r="S49" s="311"/>
      <c r="T49" s="311"/>
      <c r="U49" s="318"/>
      <c r="V49" s="318"/>
      <c r="W49" s="311" t="s">
        <v>731</v>
      </c>
      <c r="X49" s="317">
        <v>52343</v>
      </c>
      <c r="Y49" s="311"/>
      <c r="Z49" s="330"/>
      <c r="AA49" s="317">
        <v>52343</v>
      </c>
      <c r="AB49" s="317"/>
      <c r="AC49" s="317"/>
      <c r="AD49" s="317"/>
      <c r="AE49" s="317"/>
      <c r="AF49" s="311"/>
      <c r="AG49" s="319"/>
      <c r="AH49" s="319"/>
      <c r="AI49" s="319"/>
      <c r="AJ49" s="319"/>
      <c r="AK49" s="319"/>
      <c r="AL49" s="319"/>
      <c r="AM49" s="311"/>
      <c r="AN49" s="319"/>
      <c r="AO49" s="311"/>
      <c r="AP49" s="319"/>
      <c r="AQ49" s="319"/>
      <c r="AR49" s="319"/>
      <c r="AS49" s="319"/>
      <c r="AT49" s="319"/>
      <c r="AU49" s="311"/>
      <c r="AV49" s="311"/>
      <c r="AW49" s="320"/>
    </row>
    <row r="50" spans="1:49" s="316" customFormat="1" ht="76.5" hidden="1" x14ac:dyDescent="0.2">
      <c r="A50" s="303">
        <v>6</v>
      </c>
      <c r="B50" s="304" t="s">
        <v>522</v>
      </c>
      <c r="C50" s="304" t="s">
        <v>62</v>
      </c>
      <c r="D50" s="325" t="str">
        <f>D46</f>
        <v>31.10.2014
31.10.2015
31.10.2016
31.10.2017
31.10.2019
31.10.2020</v>
      </c>
      <c r="E50" s="312"/>
      <c r="F50" s="312"/>
      <c r="G50" s="312"/>
      <c r="H50" s="312"/>
      <c r="I50" s="312"/>
      <c r="J50" s="312"/>
      <c r="K50" s="312"/>
      <c r="L50" s="312"/>
      <c r="M50" s="311" t="s">
        <v>652</v>
      </c>
      <c r="N50" s="311" t="s">
        <v>735</v>
      </c>
      <c r="O50" s="311" t="s">
        <v>653</v>
      </c>
      <c r="P50" s="317">
        <v>22171.279999999999</v>
      </c>
      <c r="Q50" s="311" t="s">
        <v>654</v>
      </c>
      <c r="R50" s="317">
        <v>22171.279999999999</v>
      </c>
      <c r="S50" s="311" t="s">
        <v>656</v>
      </c>
      <c r="T50" s="311" t="s">
        <v>736</v>
      </c>
      <c r="U50" s="318">
        <v>1</v>
      </c>
      <c r="V50" s="318">
        <v>1</v>
      </c>
      <c r="W50" s="311" t="s">
        <v>737</v>
      </c>
      <c r="X50" s="317">
        <v>22171.279999999999</v>
      </c>
      <c r="Y50" s="311"/>
      <c r="Z50" s="330"/>
      <c r="AA50" s="317">
        <v>26605.54</v>
      </c>
      <c r="AB50" s="317">
        <v>26605.54</v>
      </c>
      <c r="AC50" s="317" t="s">
        <v>737</v>
      </c>
      <c r="AD50" s="317">
        <f>26605.54*0</f>
        <v>0</v>
      </c>
      <c r="AE50" s="317">
        <f>26605.54*0</f>
        <v>0</v>
      </c>
      <c r="AF50" s="311" t="s">
        <v>738</v>
      </c>
      <c r="AG50" s="319" t="s">
        <v>659</v>
      </c>
      <c r="AH50" s="319">
        <v>43767</v>
      </c>
      <c r="AI50" s="319">
        <v>43767</v>
      </c>
      <c r="AJ50" s="319">
        <v>43801</v>
      </c>
      <c r="AK50" s="319">
        <v>43812</v>
      </c>
      <c r="AL50" s="319"/>
      <c r="AM50" s="311"/>
      <c r="AN50" s="319"/>
      <c r="AO50" s="311"/>
      <c r="AP50" s="319">
        <v>43839</v>
      </c>
      <c r="AQ50" s="319">
        <v>43839</v>
      </c>
      <c r="AR50" s="319">
        <v>43839</v>
      </c>
      <c r="AS50" s="319">
        <v>43839</v>
      </c>
      <c r="AT50" s="319">
        <v>44069</v>
      </c>
      <c r="AU50" s="311"/>
      <c r="AV50" s="311"/>
      <c r="AW50" s="320"/>
    </row>
    <row r="51" spans="1:49" s="316" customFormat="1" ht="76.5" x14ac:dyDescent="0.2">
      <c r="A51" s="303">
        <v>6</v>
      </c>
      <c r="B51" s="304" t="s">
        <v>522</v>
      </c>
      <c r="C51" s="304" t="s">
        <v>62</v>
      </c>
      <c r="D51" s="325" t="str">
        <f>D50</f>
        <v>31.10.2014
31.10.2015
31.10.2016
31.10.2017
31.10.2019
31.10.2020</v>
      </c>
      <c r="E51" s="312"/>
      <c r="F51" s="312"/>
      <c r="G51" s="312"/>
      <c r="H51" s="312"/>
      <c r="I51" s="312"/>
      <c r="J51" s="312"/>
      <c r="K51" s="312"/>
      <c r="L51" s="312">
        <v>3748</v>
      </c>
      <c r="M51" s="311" t="s">
        <v>652</v>
      </c>
      <c r="N51" s="311" t="s">
        <v>739</v>
      </c>
      <c r="O51" s="311" t="s">
        <v>653</v>
      </c>
      <c r="P51" s="317">
        <v>59913.48</v>
      </c>
      <c r="Q51" s="311" t="s">
        <v>637</v>
      </c>
      <c r="R51" s="317">
        <v>59913.48</v>
      </c>
      <c r="S51" s="311" t="s">
        <v>655</v>
      </c>
      <c r="T51" s="311" t="s">
        <v>656</v>
      </c>
      <c r="U51" s="318">
        <v>2</v>
      </c>
      <c r="V51" s="318">
        <v>2</v>
      </c>
      <c r="W51" s="311" t="s">
        <v>657</v>
      </c>
      <c r="X51" s="317">
        <v>59908.33</v>
      </c>
      <c r="Y51" s="311"/>
      <c r="Z51" s="330" t="s">
        <v>732</v>
      </c>
      <c r="AA51" s="317">
        <v>59908.33</v>
      </c>
      <c r="AB51" s="317">
        <v>59908.33</v>
      </c>
      <c r="AC51" s="317" t="s">
        <v>657</v>
      </c>
      <c r="AD51" s="317">
        <v>71890</v>
      </c>
      <c r="AE51" s="317">
        <v>71890</v>
      </c>
      <c r="AF51" s="311" t="s">
        <v>741</v>
      </c>
      <c r="AG51" s="319" t="s">
        <v>659</v>
      </c>
      <c r="AH51" s="319">
        <v>43682</v>
      </c>
      <c r="AI51" s="319">
        <v>43682</v>
      </c>
      <c r="AJ51" s="319">
        <v>43714</v>
      </c>
      <c r="AK51" s="319">
        <v>43734</v>
      </c>
      <c r="AL51" s="319"/>
      <c r="AM51" s="311"/>
      <c r="AN51" s="319"/>
      <c r="AO51" s="311"/>
      <c r="AP51" s="319">
        <v>43749</v>
      </c>
      <c r="AQ51" s="319">
        <v>43749</v>
      </c>
      <c r="AR51" s="319">
        <v>43749</v>
      </c>
      <c r="AS51" s="319">
        <v>43749</v>
      </c>
      <c r="AT51" s="319">
        <v>43872</v>
      </c>
      <c r="AU51" s="311"/>
      <c r="AV51" s="311"/>
      <c r="AW51" s="320"/>
    </row>
    <row r="52" spans="1:49" s="316" customFormat="1" ht="50.25" customHeight="1" x14ac:dyDescent="0.2">
      <c r="A52" s="303"/>
      <c r="B52" s="304"/>
      <c r="C52" s="304"/>
      <c r="D52" s="325"/>
      <c r="E52" s="312"/>
      <c r="F52" s="312"/>
      <c r="G52" s="312"/>
      <c r="H52" s="312"/>
      <c r="I52" s="312"/>
      <c r="J52" s="312"/>
      <c r="K52" s="312"/>
      <c r="L52" s="312"/>
      <c r="M52" s="311"/>
      <c r="N52" s="311"/>
      <c r="O52" s="311"/>
      <c r="P52" s="317"/>
      <c r="Q52" s="311"/>
      <c r="R52" s="317"/>
      <c r="S52" s="311"/>
      <c r="T52" s="311"/>
      <c r="U52" s="318"/>
      <c r="V52" s="318"/>
      <c r="W52" s="311" t="s">
        <v>740</v>
      </c>
      <c r="X52" s="317">
        <v>59913.48</v>
      </c>
      <c r="Y52" s="311"/>
      <c r="Z52" s="330"/>
      <c r="AA52" s="317">
        <v>59913.48</v>
      </c>
      <c r="AB52" s="317"/>
      <c r="AC52" s="317"/>
      <c r="AD52" s="317">
        <v>0</v>
      </c>
      <c r="AE52" s="317"/>
      <c r="AF52" s="311"/>
      <c r="AG52" s="319"/>
      <c r="AH52" s="319"/>
      <c r="AI52" s="319"/>
      <c r="AJ52" s="319"/>
      <c r="AK52" s="319"/>
      <c r="AL52" s="319"/>
      <c r="AM52" s="311"/>
      <c r="AN52" s="319"/>
      <c r="AO52" s="311"/>
      <c r="AP52" s="319"/>
      <c r="AQ52" s="319"/>
      <c r="AR52" s="319"/>
      <c r="AS52" s="319"/>
      <c r="AT52" s="319"/>
      <c r="AU52" s="311"/>
      <c r="AV52" s="311"/>
      <c r="AW52" s="320"/>
    </row>
    <row r="53" spans="1:49" s="334" customFormat="1" ht="50.25" customHeight="1" x14ac:dyDescent="0.2">
      <c r="A53" s="331"/>
      <c r="B53" s="332"/>
      <c r="C53" s="332"/>
      <c r="D53" s="348"/>
      <c r="E53" s="333"/>
      <c r="F53" s="333"/>
      <c r="G53" s="333"/>
      <c r="H53" s="333"/>
      <c r="I53" s="333"/>
      <c r="J53" s="333"/>
      <c r="K53" s="333"/>
      <c r="L53" s="333"/>
      <c r="M53" s="349"/>
      <c r="N53" s="349"/>
      <c r="O53" s="349"/>
      <c r="P53" s="347"/>
      <c r="Q53" s="349"/>
      <c r="R53" s="347"/>
      <c r="S53" s="349"/>
      <c r="T53" s="349"/>
      <c r="U53" s="350"/>
      <c r="V53" s="350"/>
      <c r="W53" s="349"/>
      <c r="X53" s="347"/>
      <c r="Y53" s="349"/>
      <c r="Z53" s="351"/>
      <c r="AA53" s="347"/>
      <c r="AB53" s="347"/>
      <c r="AC53" s="347"/>
      <c r="AD53" s="347">
        <f>SUM(AD26:AD52)</f>
        <v>272630.32145000005</v>
      </c>
      <c r="AE53" s="347"/>
      <c r="AF53" s="349"/>
      <c r="AG53" s="352"/>
      <c r="AH53" s="352"/>
      <c r="AI53" s="352"/>
      <c r="AJ53" s="352"/>
      <c r="AK53" s="352"/>
      <c r="AL53" s="352"/>
      <c r="AM53" s="349"/>
      <c r="AN53" s="352"/>
      <c r="AO53" s="349"/>
      <c r="AP53" s="352"/>
      <c r="AQ53" s="352"/>
      <c r="AR53" s="352"/>
      <c r="AS53" s="352"/>
      <c r="AT53" s="352"/>
      <c r="AU53" s="349"/>
      <c r="AV53" s="349"/>
      <c r="AW53" s="35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44"/>
  <sheetViews>
    <sheetView view="pageBreakPreview" zoomScale="90" zoomScaleNormal="90" zoomScaleSheetLayoutView="90" workbookViewId="0">
      <selection activeCell="B113" sqref="B113"/>
    </sheetView>
  </sheetViews>
  <sheetFormatPr defaultRowHeight="15.75" x14ac:dyDescent="0.25"/>
  <cols>
    <col min="1" max="2" width="66.140625" style="112" customWidth="1"/>
    <col min="3" max="3" width="9.140625" style="55" hidden="1" customWidth="1"/>
    <col min="4" max="6" width="8.85546875" style="55"/>
    <col min="7" max="7" width="18.7109375" style="55" customWidth="1"/>
    <col min="8" max="256" width="8.85546875" style="55"/>
    <col min="257" max="258" width="66.140625" style="55" customWidth="1"/>
    <col min="259" max="512" width="8.85546875" style="55"/>
    <col min="513" max="514" width="66.140625" style="55" customWidth="1"/>
    <col min="515" max="768" width="8.85546875" style="55"/>
    <col min="769" max="770" width="66.140625" style="55" customWidth="1"/>
    <col min="771" max="1024" width="8.85546875" style="55"/>
    <col min="1025" max="1026" width="66.140625" style="55" customWidth="1"/>
    <col min="1027" max="1280" width="8.85546875" style="55"/>
    <col min="1281" max="1282" width="66.140625" style="55" customWidth="1"/>
    <col min="1283" max="1536" width="8.85546875" style="55"/>
    <col min="1537" max="1538" width="66.140625" style="55" customWidth="1"/>
    <col min="1539" max="1792" width="8.85546875" style="55"/>
    <col min="1793" max="1794" width="66.140625" style="55" customWidth="1"/>
    <col min="1795" max="2048" width="8.85546875" style="55"/>
    <col min="2049" max="2050" width="66.140625" style="55" customWidth="1"/>
    <col min="2051" max="2304" width="8.85546875" style="55"/>
    <col min="2305" max="2306" width="66.140625" style="55" customWidth="1"/>
    <col min="2307" max="2560" width="8.85546875" style="55"/>
    <col min="2561" max="2562" width="66.140625" style="55" customWidth="1"/>
    <col min="2563" max="2816" width="8.85546875" style="55"/>
    <col min="2817" max="2818" width="66.140625" style="55" customWidth="1"/>
    <col min="2819" max="3072" width="8.85546875" style="55"/>
    <col min="3073" max="3074" width="66.140625" style="55" customWidth="1"/>
    <col min="3075" max="3328" width="8.85546875" style="55"/>
    <col min="3329" max="3330" width="66.140625" style="55" customWidth="1"/>
    <col min="3331" max="3584" width="8.85546875" style="55"/>
    <col min="3585" max="3586" width="66.140625" style="55" customWidth="1"/>
    <col min="3587" max="3840" width="8.85546875" style="55"/>
    <col min="3841" max="3842" width="66.140625" style="55" customWidth="1"/>
    <col min="3843" max="4096" width="8.85546875" style="55"/>
    <col min="4097" max="4098" width="66.140625" style="55" customWidth="1"/>
    <col min="4099" max="4352" width="8.85546875" style="55"/>
    <col min="4353" max="4354" width="66.140625" style="55" customWidth="1"/>
    <col min="4355" max="4608" width="8.85546875" style="55"/>
    <col min="4609" max="4610" width="66.140625" style="55" customWidth="1"/>
    <col min="4611" max="4864" width="8.85546875" style="55"/>
    <col min="4865" max="4866" width="66.140625" style="55" customWidth="1"/>
    <col min="4867" max="5120" width="8.85546875" style="55"/>
    <col min="5121" max="5122" width="66.140625" style="55" customWidth="1"/>
    <col min="5123" max="5376" width="8.85546875" style="55"/>
    <col min="5377" max="5378" width="66.140625" style="55" customWidth="1"/>
    <col min="5379" max="5632" width="8.85546875" style="55"/>
    <col min="5633" max="5634" width="66.140625" style="55" customWidth="1"/>
    <col min="5635" max="5888" width="8.85546875" style="55"/>
    <col min="5889" max="5890" width="66.140625" style="55" customWidth="1"/>
    <col min="5891" max="6144" width="8.85546875" style="55"/>
    <col min="6145" max="6146" width="66.140625" style="55" customWidth="1"/>
    <col min="6147" max="6400" width="8.85546875" style="55"/>
    <col min="6401" max="6402" width="66.140625" style="55" customWidth="1"/>
    <col min="6403" max="6656" width="8.85546875" style="55"/>
    <col min="6657" max="6658" width="66.140625" style="55" customWidth="1"/>
    <col min="6659" max="6912" width="8.85546875" style="55"/>
    <col min="6913" max="6914" width="66.140625" style="55" customWidth="1"/>
    <col min="6915" max="7168" width="8.85546875" style="55"/>
    <col min="7169" max="7170" width="66.140625" style="55" customWidth="1"/>
    <col min="7171" max="7424" width="8.85546875" style="55"/>
    <col min="7425" max="7426" width="66.140625" style="55" customWidth="1"/>
    <col min="7427" max="7680" width="8.85546875" style="55"/>
    <col min="7681" max="7682" width="66.140625" style="55" customWidth="1"/>
    <col min="7683" max="7936" width="8.85546875" style="55"/>
    <col min="7937" max="7938" width="66.140625" style="55" customWidth="1"/>
    <col min="7939" max="8192" width="8.85546875" style="55"/>
    <col min="8193" max="8194" width="66.140625" style="55" customWidth="1"/>
    <col min="8195" max="8448" width="8.85546875" style="55"/>
    <col min="8449" max="8450" width="66.140625" style="55" customWidth="1"/>
    <col min="8451" max="8704" width="8.85546875" style="55"/>
    <col min="8705" max="8706" width="66.140625" style="55" customWidth="1"/>
    <col min="8707" max="8960" width="8.85546875" style="55"/>
    <col min="8961" max="8962" width="66.140625" style="55" customWidth="1"/>
    <col min="8963" max="9216" width="8.85546875" style="55"/>
    <col min="9217" max="9218" width="66.140625" style="55" customWidth="1"/>
    <col min="9219" max="9472" width="8.85546875" style="55"/>
    <col min="9473" max="9474" width="66.140625" style="55" customWidth="1"/>
    <col min="9475" max="9728" width="8.85546875" style="55"/>
    <col min="9729" max="9730" width="66.140625" style="55" customWidth="1"/>
    <col min="9731" max="9984" width="8.85546875" style="55"/>
    <col min="9985" max="9986" width="66.140625" style="55" customWidth="1"/>
    <col min="9987" max="10240" width="8.85546875" style="55"/>
    <col min="10241" max="10242" width="66.140625" style="55" customWidth="1"/>
    <col min="10243" max="10496" width="8.85546875" style="55"/>
    <col min="10497" max="10498" width="66.140625" style="55" customWidth="1"/>
    <col min="10499" max="10752" width="8.85546875" style="55"/>
    <col min="10753" max="10754" width="66.140625" style="55" customWidth="1"/>
    <col min="10755" max="11008" width="8.85546875" style="55"/>
    <col min="11009" max="11010" width="66.140625" style="55" customWidth="1"/>
    <col min="11011" max="11264" width="8.85546875" style="55"/>
    <col min="11265" max="11266" width="66.140625" style="55" customWidth="1"/>
    <col min="11267" max="11520" width="8.85546875" style="55"/>
    <col min="11521" max="11522" width="66.140625" style="55" customWidth="1"/>
    <col min="11523" max="11776" width="8.85546875" style="55"/>
    <col min="11777" max="11778" width="66.140625" style="55" customWidth="1"/>
    <col min="11779" max="12032" width="8.85546875" style="55"/>
    <col min="12033" max="12034" width="66.140625" style="55" customWidth="1"/>
    <col min="12035" max="12288" width="8.85546875" style="55"/>
    <col min="12289" max="12290" width="66.140625" style="55" customWidth="1"/>
    <col min="12291" max="12544" width="8.85546875" style="55"/>
    <col min="12545" max="12546" width="66.140625" style="55" customWidth="1"/>
    <col min="12547" max="12800" width="8.85546875" style="55"/>
    <col min="12801" max="12802" width="66.140625" style="55" customWidth="1"/>
    <col min="12803" max="13056" width="8.85546875" style="55"/>
    <col min="13057" max="13058" width="66.140625" style="55" customWidth="1"/>
    <col min="13059" max="13312" width="8.85546875" style="55"/>
    <col min="13313" max="13314" width="66.140625" style="55" customWidth="1"/>
    <col min="13315" max="13568" width="8.85546875" style="55"/>
    <col min="13569" max="13570" width="66.140625" style="55" customWidth="1"/>
    <col min="13571" max="13824" width="8.85546875" style="55"/>
    <col min="13825" max="13826" width="66.140625" style="55" customWidth="1"/>
    <col min="13827" max="14080" width="8.85546875" style="55"/>
    <col min="14081" max="14082" width="66.140625" style="55" customWidth="1"/>
    <col min="14083" max="14336" width="8.85546875" style="55"/>
    <col min="14337" max="14338" width="66.140625" style="55" customWidth="1"/>
    <col min="14339" max="14592" width="8.85546875" style="55"/>
    <col min="14593" max="14594" width="66.140625" style="55" customWidth="1"/>
    <col min="14595" max="14848" width="8.85546875" style="55"/>
    <col min="14849" max="14850" width="66.140625" style="55" customWidth="1"/>
    <col min="14851" max="15104" width="8.85546875" style="55"/>
    <col min="15105" max="15106" width="66.140625" style="55" customWidth="1"/>
    <col min="15107" max="15360" width="8.85546875" style="55"/>
    <col min="15361" max="15362" width="66.140625" style="55" customWidth="1"/>
    <col min="15363" max="15616" width="8.85546875" style="55"/>
    <col min="15617" max="15618" width="66.140625" style="55" customWidth="1"/>
    <col min="15619" max="15872" width="8.85546875" style="55"/>
    <col min="15873" max="15874" width="66.140625" style="55" customWidth="1"/>
    <col min="15875" max="16128" width="8.85546875" style="55"/>
    <col min="16129" max="16130" width="66.140625" style="55" customWidth="1"/>
    <col min="16131" max="16384" width="8.85546875" style="55"/>
  </cols>
  <sheetData>
    <row r="1" spans="1:8" ht="18.75" x14ac:dyDescent="0.25">
      <c r="B1" s="35" t="s">
        <v>66</v>
      </c>
    </row>
    <row r="2" spans="1:8" ht="18.75" x14ac:dyDescent="0.3">
      <c r="B2" s="15" t="s">
        <v>8</v>
      </c>
    </row>
    <row r="3" spans="1:8" ht="18.75" x14ac:dyDescent="0.3">
      <c r="B3" s="15" t="s">
        <v>520</v>
      </c>
    </row>
    <row r="4" spans="1:8" x14ac:dyDescent="0.25">
      <c r="B4" s="38"/>
    </row>
    <row r="5" spans="1:8" ht="18.75" x14ac:dyDescent="0.3">
      <c r="A5" s="554" t="str">
        <f>'1. паспорт местоположение'!A5:C5</f>
        <v>Год раскрытия информации: 2022 год</v>
      </c>
      <c r="B5" s="554"/>
      <c r="C5" s="67"/>
      <c r="D5" s="67"/>
      <c r="E5" s="67"/>
      <c r="F5" s="67"/>
      <c r="G5" s="67"/>
      <c r="H5" s="67"/>
    </row>
    <row r="6" spans="1:8" ht="18.75" x14ac:dyDescent="0.3">
      <c r="A6" s="225"/>
      <c r="B6" s="225"/>
      <c r="C6" s="225"/>
      <c r="D6" s="225"/>
      <c r="E6" s="225"/>
      <c r="F6" s="225"/>
      <c r="G6" s="225"/>
      <c r="H6" s="225"/>
    </row>
    <row r="7" spans="1:8" ht="18.75" x14ac:dyDescent="0.25">
      <c r="A7" s="555" t="s">
        <v>7</v>
      </c>
      <c r="B7" s="555"/>
      <c r="C7" s="226"/>
      <c r="D7" s="226"/>
      <c r="E7" s="226"/>
      <c r="F7" s="226"/>
      <c r="G7" s="226"/>
      <c r="H7" s="226"/>
    </row>
    <row r="8" spans="1:8" ht="18.75" x14ac:dyDescent="0.25">
      <c r="A8" s="226"/>
      <c r="B8" s="226"/>
      <c r="C8" s="226"/>
      <c r="D8" s="226"/>
      <c r="E8" s="226"/>
      <c r="F8" s="226"/>
      <c r="G8" s="226"/>
      <c r="H8" s="226"/>
    </row>
    <row r="9" spans="1:8" x14ac:dyDescent="0.25">
      <c r="A9" s="556" t="str">
        <f>'1. паспорт местоположение'!A9:C9</f>
        <v>Акционерное общество "Янтарьэнерго" ДЗО  ПАО "Россети"</v>
      </c>
      <c r="B9" s="556"/>
      <c r="C9" s="227"/>
      <c r="D9" s="227"/>
      <c r="E9" s="227"/>
      <c r="F9" s="227"/>
      <c r="G9" s="227"/>
      <c r="H9" s="227"/>
    </row>
    <row r="10" spans="1:8" x14ac:dyDescent="0.25">
      <c r="A10" s="557" t="s">
        <v>6</v>
      </c>
      <c r="B10" s="557"/>
      <c r="C10" s="228"/>
      <c r="D10" s="228"/>
      <c r="E10" s="228"/>
      <c r="F10" s="228"/>
      <c r="G10" s="228"/>
      <c r="H10" s="228"/>
    </row>
    <row r="11" spans="1:8" ht="18.75" x14ac:dyDescent="0.25">
      <c r="A11" s="226"/>
      <c r="B11" s="226"/>
      <c r="C11" s="226"/>
      <c r="D11" s="226"/>
      <c r="E11" s="226"/>
      <c r="F11" s="226"/>
      <c r="G11" s="226"/>
      <c r="H11" s="226"/>
    </row>
    <row r="12" spans="1:8" x14ac:dyDescent="0.25">
      <c r="A12" s="556" t="str">
        <f>'1. паспорт местоположение'!A12:C12</f>
        <v>F_48-НН</v>
      </c>
      <c r="B12" s="556"/>
      <c r="C12" s="227"/>
      <c r="D12" s="227"/>
      <c r="E12" s="227"/>
      <c r="F12" s="227"/>
      <c r="G12" s="227"/>
      <c r="H12" s="227"/>
    </row>
    <row r="13" spans="1:8" x14ac:dyDescent="0.25">
      <c r="A13" s="557" t="s">
        <v>5</v>
      </c>
      <c r="B13" s="557"/>
      <c r="C13" s="228"/>
      <c r="D13" s="228"/>
      <c r="E13" s="228"/>
      <c r="F13" s="228"/>
      <c r="G13" s="228"/>
      <c r="H13" s="228"/>
    </row>
    <row r="14" spans="1:8" ht="18.75" x14ac:dyDescent="0.25">
      <c r="A14" s="229"/>
      <c r="B14" s="229"/>
      <c r="C14" s="229"/>
      <c r="D14" s="229"/>
      <c r="E14" s="229"/>
      <c r="F14" s="229"/>
      <c r="G14" s="229"/>
      <c r="H14" s="229"/>
    </row>
    <row r="15" spans="1:8" ht="47.25" customHeight="1" x14ac:dyDescent="0.25">
      <c r="A15" s="558" t="str">
        <f>'1. паспорт местоположение'!A15:C15</f>
        <v>Организация интеллектуальной системы учета электроэнергии (приобретение компонентов интеллектуальной системы учета, выполнение проектных, строительно-монтажных и пусконаладочных работ по модернизации / созданию интеллектуальной системы учета электроэнергии)</v>
      </c>
      <c r="B15" s="558"/>
      <c r="C15" s="227"/>
      <c r="D15" s="227"/>
      <c r="E15" s="227"/>
      <c r="F15" s="227"/>
      <c r="G15" s="227"/>
      <c r="H15" s="227"/>
    </row>
    <row r="16" spans="1:8" x14ac:dyDescent="0.25">
      <c r="A16" s="557" t="s">
        <v>4</v>
      </c>
      <c r="B16" s="557"/>
      <c r="C16" s="228"/>
      <c r="D16" s="228"/>
      <c r="E16" s="228"/>
      <c r="F16" s="228"/>
      <c r="G16" s="228"/>
      <c r="H16" s="228"/>
    </row>
    <row r="17" spans="1:2" x14ac:dyDescent="0.25">
      <c r="B17" s="113"/>
    </row>
    <row r="18" spans="1:2" x14ac:dyDescent="0.25">
      <c r="A18" s="559" t="s">
        <v>503</v>
      </c>
      <c r="B18" s="560"/>
    </row>
    <row r="19" spans="1:2" x14ac:dyDescent="0.25">
      <c r="B19" s="38"/>
    </row>
    <row r="20" spans="1:2" ht="16.5" thickBot="1" x14ac:dyDescent="0.3">
      <c r="B20" s="114"/>
    </row>
    <row r="21" spans="1:2" ht="75.75" thickBot="1" x14ac:dyDescent="0.3">
      <c r="A21" s="115" t="s">
        <v>378</v>
      </c>
      <c r="B21" s="116" t="str">
        <f>A15</f>
        <v>Организация интеллектуальной системы учета электроэнергии (приобретение компонентов интеллектуальной системы учета, выполнение проектных, строительно-монтажных и пусконаладочных работ по модернизации / созданию интеллектуальной системы учета электроэнергии)</v>
      </c>
    </row>
    <row r="22" spans="1:2" ht="165.75" thickBot="1" x14ac:dyDescent="0.3">
      <c r="A22" s="115" t="s">
        <v>379</v>
      </c>
      <c r="B22" s="116"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v>
      </c>
    </row>
    <row r="23" spans="1:2" ht="16.5" thickBot="1" x14ac:dyDescent="0.3">
      <c r="A23" s="115" t="s">
        <v>344</v>
      </c>
      <c r="B23" s="117" t="s">
        <v>543</v>
      </c>
    </row>
    <row r="24" spans="1:2" ht="16.5" thickBot="1" x14ac:dyDescent="0.3">
      <c r="A24" s="115" t="s">
        <v>380</v>
      </c>
      <c r="B24" s="117">
        <v>0</v>
      </c>
    </row>
    <row r="25" spans="1:2" ht="16.5" thickBot="1" x14ac:dyDescent="0.3">
      <c r="A25" s="118" t="s">
        <v>381</v>
      </c>
      <c r="B25" s="116" t="s">
        <v>757</v>
      </c>
    </row>
    <row r="26" spans="1:2" ht="16.5" thickBot="1" x14ac:dyDescent="0.3">
      <c r="A26" s="119" t="s">
        <v>382</v>
      </c>
      <c r="B26" s="120" t="s">
        <v>762</v>
      </c>
    </row>
    <row r="27" spans="1:2" ht="29.25" thickBot="1" x14ac:dyDescent="0.3">
      <c r="A27" s="126" t="s">
        <v>643</v>
      </c>
      <c r="B27" s="255">
        <f>'6.2. Паспорт фин осв ввод'!C24</f>
        <v>275.14590664000002</v>
      </c>
    </row>
    <row r="28" spans="1:2" ht="45.75" thickBot="1" x14ac:dyDescent="0.3">
      <c r="A28" s="122" t="s">
        <v>383</v>
      </c>
      <c r="B28" s="122" t="s">
        <v>696</v>
      </c>
    </row>
    <row r="29" spans="1:2" ht="29.25" thickBot="1" x14ac:dyDescent="0.3">
      <c r="A29" s="127" t="s">
        <v>644</v>
      </c>
      <c r="B29" s="255">
        <f>'7. Паспорт отчет о закупке'!AD53/1000</f>
        <v>272.63032145000005</v>
      </c>
    </row>
    <row r="30" spans="1:2" ht="29.25" thickBot="1" x14ac:dyDescent="0.3">
      <c r="A30" s="127" t="s">
        <v>645</v>
      </c>
      <c r="B30" s="255">
        <f>B32+B57+B74</f>
        <v>269.98619511999999</v>
      </c>
    </row>
    <row r="31" spans="1:2" ht="16.5" thickBot="1" x14ac:dyDescent="0.3">
      <c r="A31" s="122" t="s">
        <v>384</v>
      </c>
      <c r="B31" s="255"/>
    </row>
    <row r="32" spans="1:2" ht="29.25" thickBot="1" x14ac:dyDescent="0.3">
      <c r="A32" s="127" t="s">
        <v>385</v>
      </c>
      <c r="B32" s="255">
        <f>SUMIF(C33:C56,10,B33:B56)</f>
        <v>269.98619511999999</v>
      </c>
    </row>
    <row r="33" spans="1:10" s="230" customFormat="1" ht="30.75" thickBot="1" x14ac:dyDescent="0.3">
      <c r="A33" s="564" t="s">
        <v>702</v>
      </c>
      <c r="B33" s="565">
        <v>11.60639445</v>
      </c>
      <c r="C33" s="230">
        <v>10</v>
      </c>
    </row>
    <row r="34" spans="1:10" ht="16.5" thickBot="1" x14ac:dyDescent="0.3">
      <c r="A34" s="122" t="s">
        <v>386</v>
      </c>
      <c r="B34" s="223">
        <f t="shared" ref="B34" si="0">B33/$B$27</f>
        <v>4.2182689874379148E-2</v>
      </c>
    </row>
    <row r="35" spans="1:10" ht="16.5" thickBot="1" x14ac:dyDescent="0.3">
      <c r="A35" s="122" t="s">
        <v>646</v>
      </c>
      <c r="B35" s="255">
        <v>11.60639445</v>
      </c>
      <c r="C35" s="55">
        <v>1</v>
      </c>
    </row>
    <row r="36" spans="1:10" ht="16.5" thickBot="1" x14ac:dyDescent="0.3">
      <c r="A36" s="122" t="s">
        <v>647</v>
      </c>
      <c r="B36" s="255">
        <v>11.60639445</v>
      </c>
      <c r="C36" s="55">
        <v>2</v>
      </c>
    </row>
    <row r="37" spans="1:10" s="230" customFormat="1" ht="30.75" thickBot="1" x14ac:dyDescent="0.3">
      <c r="A37" s="564" t="s">
        <v>698</v>
      </c>
      <c r="B37" s="565">
        <v>29.558841869999998</v>
      </c>
      <c r="C37" s="230">
        <v>10</v>
      </c>
    </row>
    <row r="38" spans="1:10" ht="16.5" thickBot="1" x14ac:dyDescent="0.3">
      <c r="A38" s="122" t="s">
        <v>386</v>
      </c>
      <c r="B38" s="223">
        <f t="shared" ref="B38" si="1">B37/$B$27</f>
        <v>0.10742969877678278</v>
      </c>
    </row>
    <row r="39" spans="1:10" ht="16.5" thickBot="1" x14ac:dyDescent="0.3">
      <c r="A39" s="122" t="s">
        <v>646</v>
      </c>
      <c r="B39" s="255">
        <v>29.558841869999998</v>
      </c>
      <c r="C39" s="55">
        <v>1</v>
      </c>
    </row>
    <row r="40" spans="1:10" ht="16.5" thickBot="1" x14ac:dyDescent="0.3">
      <c r="A40" s="122" t="s">
        <v>647</v>
      </c>
      <c r="B40" s="255">
        <v>29.558841869999998</v>
      </c>
      <c r="C40" s="55">
        <v>2</v>
      </c>
    </row>
    <row r="41" spans="1:10" s="230" customFormat="1" ht="30.75" thickBot="1" x14ac:dyDescent="0.3">
      <c r="A41" s="564" t="s">
        <v>719</v>
      </c>
      <c r="B41" s="565">
        <v>75.136367129999996</v>
      </c>
      <c r="C41" s="230">
        <v>10</v>
      </c>
    </row>
    <row r="42" spans="1:10" ht="16.5" thickBot="1" x14ac:dyDescent="0.3">
      <c r="A42" s="122" t="s">
        <v>386</v>
      </c>
      <c r="B42" s="223">
        <f>B41/$B$27</f>
        <v>0.27307826617354758</v>
      </c>
    </row>
    <row r="43" spans="1:10" ht="16.5" thickBot="1" x14ac:dyDescent="0.3">
      <c r="A43" s="122" t="s">
        <v>646</v>
      </c>
      <c r="B43" s="255">
        <v>75.136367129999996</v>
      </c>
      <c r="C43" s="55">
        <v>1</v>
      </c>
    </row>
    <row r="44" spans="1:10" ht="16.5" thickBot="1" x14ac:dyDescent="0.3">
      <c r="A44" s="122" t="s">
        <v>647</v>
      </c>
      <c r="B44" s="255">
        <v>75.136367129999996</v>
      </c>
      <c r="C44" s="55">
        <v>2</v>
      </c>
      <c r="E44" s="58"/>
      <c r="F44" s="58"/>
      <c r="G44" s="58"/>
      <c r="H44" s="58"/>
      <c r="I44" s="58"/>
      <c r="J44" s="58"/>
    </row>
    <row r="45" spans="1:10" s="230" customFormat="1" ht="30.75" thickBot="1" x14ac:dyDescent="0.3">
      <c r="A45" s="564" t="s">
        <v>721</v>
      </c>
      <c r="B45" s="565">
        <v>39.415368000000001</v>
      </c>
      <c r="C45" s="230">
        <v>10</v>
      </c>
      <c r="E45" s="343"/>
      <c r="F45" s="343"/>
      <c r="G45" s="344"/>
      <c r="H45" s="345"/>
      <c r="I45" s="345"/>
      <c r="J45" s="346"/>
    </row>
    <row r="46" spans="1:10" ht="16.5" thickBot="1" x14ac:dyDescent="0.3">
      <c r="A46" s="122" t="s">
        <v>386</v>
      </c>
      <c r="B46" s="223">
        <f>B45/$B$27</f>
        <v>0.14325260543152812</v>
      </c>
      <c r="E46" s="343"/>
      <c r="F46" s="343"/>
      <c r="G46" s="344"/>
      <c r="H46" s="345"/>
      <c r="I46" s="345"/>
      <c r="J46" s="58"/>
    </row>
    <row r="47" spans="1:10" ht="16.5" thickBot="1" x14ac:dyDescent="0.3">
      <c r="A47" s="122" t="s">
        <v>646</v>
      </c>
      <c r="B47" s="255">
        <v>39.415368000000001</v>
      </c>
      <c r="C47" s="55">
        <v>1</v>
      </c>
      <c r="E47" s="343"/>
      <c r="F47" s="343"/>
      <c r="G47" s="344"/>
      <c r="H47" s="345"/>
      <c r="I47" s="345"/>
      <c r="J47" s="58"/>
    </row>
    <row r="48" spans="1:10" ht="16.5" thickBot="1" x14ac:dyDescent="0.3">
      <c r="A48" s="122" t="s">
        <v>647</v>
      </c>
      <c r="B48" s="255">
        <v>38.103666420000003</v>
      </c>
      <c r="C48" s="55">
        <v>2</v>
      </c>
      <c r="E48" s="343"/>
      <c r="F48" s="343"/>
      <c r="G48" s="344"/>
      <c r="H48" s="345"/>
      <c r="I48" s="345"/>
      <c r="J48" s="58"/>
    </row>
    <row r="49" spans="1:10" s="230" customFormat="1" ht="30.75" thickBot="1" x14ac:dyDescent="0.3">
      <c r="A49" s="564" t="s">
        <v>727</v>
      </c>
      <c r="B49" s="565">
        <v>70.461443979999999</v>
      </c>
      <c r="C49" s="230">
        <v>10</v>
      </c>
      <c r="E49" s="346"/>
      <c r="F49" s="346"/>
      <c r="G49" s="346"/>
      <c r="H49" s="346"/>
      <c r="I49" s="346"/>
      <c r="J49" s="346"/>
    </row>
    <row r="50" spans="1:10" ht="16.5" thickBot="1" x14ac:dyDescent="0.3">
      <c r="A50" s="122" t="s">
        <v>386</v>
      </c>
      <c r="B50" s="223">
        <v>0.13108294965136019</v>
      </c>
    </row>
    <row r="51" spans="1:10" ht="16.5" thickBot="1" x14ac:dyDescent="0.3">
      <c r="A51" s="122" t="s">
        <v>646</v>
      </c>
      <c r="B51" s="255">
        <v>70.461443979999999</v>
      </c>
      <c r="C51" s="55">
        <v>1</v>
      </c>
    </row>
    <row r="52" spans="1:10" ht="16.5" thickBot="1" x14ac:dyDescent="0.3">
      <c r="A52" s="122" t="s">
        <v>647</v>
      </c>
      <c r="B52" s="255">
        <v>70.461443979999999</v>
      </c>
      <c r="C52" s="55">
        <v>2</v>
      </c>
    </row>
    <row r="53" spans="1:10" s="230" customFormat="1" ht="30.75" thickBot="1" x14ac:dyDescent="0.3">
      <c r="A53" s="564" t="s">
        <v>766</v>
      </c>
      <c r="B53" s="565">
        <v>43.807779689999997</v>
      </c>
      <c r="C53" s="230">
        <v>10</v>
      </c>
    </row>
    <row r="54" spans="1:10" ht="16.5" thickBot="1" x14ac:dyDescent="0.3">
      <c r="A54" s="122" t="s">
        <v>386</v>
      </c>
      <c r="B54" s="223">
        <f>B53/$B$27</f>
        <v>0.15921654159775653</v>
      </c>
    </row>
    <row r="55" spans="1:10" ht="16.5" thickBot="1" x14ac:dyDescent="0.3">
      <c r="A55" s="122" t="s">
        <v>646</v>
      </c>
      <c r="B55" s="255">
        <v>43.807779689999997</v>
      </c>
      <c r="C55" s="55">
        <v>1</v>
      </c>
    </row>
    <row r="56" spans="1:10" ht="16.5" thickBot="1" x14ac:dyDescent="0.3">
      <c r="A56" s="122" t="s">
        <v>647</v>
      </c>
      <c r="B56" s="255">
        <v>43.807779689999997</v>
      </c>
      <c r="C56" s="55">
        <v>2</v>
      </c>
    </row>
    <row r="57" spans="1:10" ht="29.25" thickBot="1" x14ac:dyDescent="0.3">
      <c r="A57" s="127" t="s">
        <v>387</v>
      </c>
      <c r="B57" s="255">
        <f>SUMIF(C58:C73,20,B58:B73)</f>
        <v>0</v>
      </c>
    </row>
    <row r="58" spans="1:10" s="230" customFormat="1" ht="30.75" hidden="1" thickBot="1" x14ac:dyDescent="0.3">
      <c r="A58" s="335" t="s">
        <v>728</v>
      </c>
      <c r="B58" s="336">
        <f>26.6055408*0</f>
        <v>0</v>
      </c>
      <c r="C58" s="230">
        <v>20</v>
      </c>
    </row>
    <row r="59" spans="1:10" ht="16.5" hidden="1" thickBot="1" x14ac:dyDescent="0.3">
      <c r="A59" s="122" t="s">
        <v>386</v>
      </c>
      <c r="B59" s="223">
        <f>B58/$B$27</f>
        <v>0</v>
      </c>
    </row>
    <row r="60" spans="1:10" ht="16.5" hidden="1" thickBot="1" x14ac:dyDescent="0.3">
      <c r="A60" s="122" t="s">
        <v>646</v>
      </c>
      <c r="B60" s="255">
        <v>0</v>
      </c>
      <c r="C60" s="55">
        <v>1</v>
      </c>
    </row>
    <row r="61" spans="1:10" ht="16.5" hidden="1" thickBot="1" x14ac:dyDescent="0.3">
      <c r="A61" s="122" t="s">
        <v>647</v>
      </c>
      <c r="B61" s="255">
        <v>0</v>
      </c>
      <c r="C61" s="55">
        <v>2</v>
      </c>
    </row>
    <row r="62" spans="1:10" s="230" customFormat="1" ht="30.75" thickBot="1" x14ac:dyDescent="0.3">
      <c r="A62" s="222" t="s">
        <v>648</v>
      </c>
      <c r="B62" s="256">
        <v>0</v>
      </c>
      <c r="C62" s="230">
        <v>20</v>
      </c>
    </row>
    <row r="63" spans="1:10" ht="16.5" thickBot="1" x14ac:dyDescent="0.3">
      <c r="A63" s="122" t="s">
        <v>386</v>
      </c>
      <c r="B63" s="223">
        <f>B62/$B$27</f>
        <v>0</v>
      </c>
    </row>
    <row r="64" spans="1:10" ht="16.5" thickBot="1" x14ac:dyDescent="0.3">
      <c r="A64" s="122" t="s">
        <v>646</v>
      </c>
      <c r="B64" s="255">
        <v>0</v>
      </c>
      <c r="C64" s="55">
        <v>1</v>
      </c>
    </row>
    <row r="65" spans="1:3" ht="16.5" thickBot="1" x14ac:dyDescent="0.3">
      <c r="A65" s="122" t="s">
        <v>647</v>
      </c>
      <c r="B65" s="255">
        <v>0</v>
      </c>
      <c r="C65" s="55">
        <v>2</v>
      </c>
    </row>
    <row r="66" spans="1:3" s="230" customFormat="1" ht="30.75" thickBot="1" x14ac:dyDescent="0.3">
      <c r="A66" s="222" t="s">
        <v>648</v>
      </c>
      <c r="B66" s="256">
        <v>0</v>
      </c>
      <c r="C66" s="230">
        <v>20</v>
      </c>
    </row>
    <row r="67" spans="1:3" ht="16.5" thickBot="1" x14ac:dyDescent="0.3">
      <c r="A67" s="122" t="s">
        <v>386</v>
      </c>
      <c r="B67" s="223">
        <f>B66/$B$27</f>
        <v>0</v>
      </c>
    </row>
    <row r="68" spans="1:3" ht="16.5" thickBot="1" x14ac:dyDescent="0.3">
      <c r="A68" s="122" t="s">
        <v>646</v>
      </c>
      <c r="B68" s="255">
        <v>0</v>
      </c>
      <c r="C68" s="55">
        <v>1</v>
      </c>
    </row>
    <row r="69" spans="1:3" ht="16.5" thickBot="1" x14ac:dyDescent="0.3">
      <c r="A69" s="122" t="s">
        <v>647</v>
      </c>
      <c r="B69" s="255">
        <v>0</v>
      </c>
      <c r="C69" s="55">
        <v>2</v>
      </c>
    </row>
    <row r="70" spans="1:3" s="230" customFormat="1" ht="30.75" thickBot="1" x14ac:dyDescent="0.3">
      <c r="A70" s="222" t="s">
        <v>648</v>
      </c>
      <c r="B70" s="256">
        <v>0</v>
      </c>
      <c r="C70" s="230">
        <v>20</v>
      </c>
    </row>
    <row r="71" spans="1:3" ht="16.5" thickBot="1" x14ac:dyDescent="0.3">
      <c r="A71" s="122" t="s">
        <v>386</v>
      </c>
      <c r="B71" s="223">
        <f>B70/$B$27</f>
        <v>0</v>
      </c>
    </row>
    <row r="72" spans="1:3" ht="16.5" thickBot="1" x14ac:dyDescent="0.3">
      <c r="A72" s="122" t="s">
        <v>646</v>
      </c>
      <c r="B72" s="255">
        <v>0</v>
      </c>
      <c r="C72" s="55">
        <v>1</v>
      </c>
    </row>
    <row r="73" spans="1:3" ht="16.5" thickBot="1" x14ac:dyDescent="0.3">
      <c r="A73" s="122" t="s">
        <v>647</v>
      </c>
      <c r="B73" s="255">
        <v>0</v>
      </c>
      <c r="C73" s="55">
        <v>2</v>
      </c>
    </row>
    <row r="74" spans="1:3" ht="29.25" thickBot="1" x14ac:dyDescent="0.3">
      <c r="A74" s="127" t="s">
        <v>388</v>
      </c>
      <c r="B74" s="255">
        <f>SUMIF(C75:C90,30,B75:B90)</f>
        <v>0</v>
      </c>
    </row>
    <row r="75" spans="1:3" s="230" customFormat="1" ht="30.75" thickBot="1" x14ac:dyDescent="0.3">
      <c r="A75" s="222" t="s">
        <v>648</v>
      </c>
      <c r="B75" s="256">
        <v>0</v>
      </c>
      <c r="C75" s="230">
        <v>30</v>
      </c>
    </row>
    <row r="76" spans="1:3" ht="16.5" thickBot="1" x14ac:dyDescent="0.3">
      <c r="A76" s="122" t="s">
        <v>386</v>
      </c>
      <c r="B76" s="223">
        <f>B75/$B$27</f>
        <v>0</v>
      </c>
    </row>
    <row r="77" spans="1:3" ht="16.5" thickBot="1" x14ac:dyDescent="0.3">
      <c r="A77" s="122" t="s">
        <v>646</v>
      </c>
      <c r="B77" s="255">
        <v>0</v>
      </c>
      <c r="C77" s="55">
        <v>1</v>
      </c>
    </row>
    <row r="78" spans="1:3" ht="16.5" thickBot="1" x14ac:dyDescent="0.3">
      <c r="A78" s="122" t="s">
        <v>647</v>
      </c>
      <c r="B78" s="255">
        <v>0</v>
      </c>
      <c r="C78" s="55">
        <v>2</v>
      </c>
    </row>
    <row r="79" spans="1:3" s="230" customFormat="1" ht="30.75" thickBot="1" x14ac:dyDescent="0.3">
      <c r="A79" s="222" t="s">
        <v>648</v>
      </c>
      <c r="B79" s="256">
        <v>0</v>
      </c>
      <c r="C79" s="230">
        <v>30</v>
      </c>
    </row>
    <row r="80" spans="1:3" ht="16.5" thickBot="1" x14ac:dyDescent="0.3">
      <c r="A80" s="122" t="s">
        <v>386</v>
      </c>
      <c r="B80" s="223">
        <f>B79/$B$27</f>
        <v>0</v>
      </c>
    </row>
    <row r="81" spans="1:3" ht="16.5" thickBot="1" x14ac:dyDescent="0.3">
      <c r="A81" s="122" t="s">
        <v>646</v>
      </c>
      <c r="B81" s="255">
        <v>0</v>
      </c>
      <c r="C81" s="55">
        <v>1</v>
      </c>
    </row>
    <row r="82" spans="1:3" ht="16.5" thickBot="1" x14ac:dyDescent="0.3">
      <c r="A82" s="122" t="s">
        <v>647</v>
      </c>
      <c r="B82" s="255">
        <v>0</v>
      </c>
      <c r="C82" s="55">
        <v>2</v>
      </c>
    </row>
    <row r="83" spans="1:3" s="230" customFormat="1" ht="30.75" thickBot="1" x14ac:dyDescent="0.3">
      <c r="A83" s="222" t="s">
        <v>648</v>
      </c>
      <c r="B83" s="256">
        <v>0</v>
      </c>
      <c r="C83" s="230">
        <v>30</v>
      </c>
    </row>
    <row r="84" spans="1:3" ht="16.5" thickBot="1" x14ac:dyDescent="0.3">
      <c r="A84" s="122" t="s">
        <v>386</v>
      </c>
      <c r="B84" s="223">
        <f>B83/$B$27</f>
        <v>0</v>
      </c>
    </row>
    <row r="85" spans="1:3" ht="16.5" thickBot="1" x14ac:dyDescent="0.3">
      <c r="A85" s="122" t="s">
        <v>646</v>
      </c>
      <c r="B85" s="255">
        <v>0</v>
      </c>
      <c r="C85" s="55">
        <v>1</v>
      </c>
    </row>
    <row r="86" spans="1:3" ht="16.5" thickBot="1" x14ac:dyDescent="0.3">
      <c r="A86" s="122" t="s">
        <v>647</v>
      </c>
      <c r="B86" s="255">
        <v>0</v>
      </c>
      <c r="C86" s="55">
        <v>2</v>
      </c>
    </row>
    <row r="87" spans="1:3" s="230" customFormat="1" ht="30.75" thickBot="1" x14ac:dyDescent="0.3">
      <c r="A87" s="222" t="s">
        <v>648</v>
      </c>
      <c r="B87" s="256">
        <v>0</v>
      </c>
      <c r="C87" s="230">
        <v>30</v>
      </c>
    </row>
    <row r="88" spans="1:3" ht="16.5" thickBot="1" x14ac:dyDescent="0.3">
      <c r="A88" s="122" t="s">
        <v>386</v>
      </c>
      <c r="B88" s="223">
        <f>B87/$B$27</f>
        <v>0</v>
      </c>
    </row>
    <row r="89" spans="1:3" ht="16.5" thickBot="1" x14ac:dyDescent="0.3">
      <c r="A89" s="122" t="s">
        <v>646</v>
      </c>
      <c r="B89" s="255">
        <v>0</v>
      </c>
      <c r="C89" s="55">
        <v>1</v>
      </c>
    </row>
    <row r="90" spans="1:3" ht="16.5" thickBot="1" x14ac:dyDescent="0.3">
      <c r="A90" s="122" t="s">
        <v>647</v>
      </c>
      <c r="B90" s="255">
        <v>0</v>
      </c>
      <c r="C90" s="55">
        <v>2</v>
      </c>
    </row>
    <row r="91" spans="1:3" ht="29.25" thickBot="1" x14ac:dyDescent="0.3">
      <c r="A91" s="121" t="s">
        <v>389</v>
      </c>
      <c r="B91" s="223">
        <f>B30/B27</f>
        <v>0.98124736223406372</v>
      </c>
    </row>
    <row r="92" spans="1:3" ht="16.5" thickBot="1" x14ac:dyDescent="0.3">
      <c r="A92" s="123" t="s">
        <v>384</v>
      </c>
      <c r="B92" s="223"/>
    </row>
    <row r="93" spans="1:3" ht="16.5" thickBot="1" x14ac:dyDescent="0.3">
      <c r="A93" s="123" t="s">
        <v>390</v>
      </c>
      <c r="B93" s="223"/>
    </row>
    <row r="94" spans="1:3" ht="16.5" thickBot="1" x14ac:dyDescent="0.3">
      <c r="A94" s="123" t="s">
        <v>391</v>
      </c>
      <c r="B94" s="223"/>
    </row>
    <row r="95" spans="1:3" ht="16.5" thickBot="1" x14ac:dyDescent="0.3">
      <c r="A95" s="123" t="s">
        <v>392</v>
      </c>
      <c r="B95" s="223"/>
    </row>
    <row r="96" spans="1:3" s="340" customFormat="1" ht="34.5" customHeight="1" thickBot="1" x14ac:dyDescent="0.3">
      <c r="A96" s="337" t="s">
        <v>726</v>
      </c>
      <c r="B96" s="338">
        <f>B97+B101+B109+B105</f>
        <v>5.7628439403999998</v>
      </c>
      <c r="C96" s="339"/>
    </row>
    <row r="97" spans="1:3" s="342" customFormat="1" ht="16.5" thickBot="1" x14ac:dyDescent="0.3">
      <c r="A97" s="564" t="s">
        <v>724</v>
      </c>
      <c r="B97" s="565">
        <v>1.0214070044000001</v>
      </c>
      <c r="C97" s="341">
        <v>40</v>
      </c>
    </row>
    <row r="98" spans="1:3" s="342" customFormat="1" ht="16.5" thickBot="1" x14ac:dyDescent="0.3">
      <c r="A98" s="122" t="s">
        <v>386</v>
      </c>
      <c r="B98" s="223">
        <f>B97/$B$27</f>
        <v>3.7122376882619068E-3</v>
      </c>
    </row>
    <row r="99" spans="1:3" s="342" customFormat="1" ht="16.5" thickBot="1" x14ac:dyDescent="0.3">
      <c r="A99" s="122" t="s">
        <v>646</v>
      </c>
      <c r="B99" s="255">
        <v>0.41827469439999998</v>
      </c>
      <c r="C99" s="342">
        <v>1</v>
      </c>
    </row>
    <row r="100" spans="1:3" s="342" customFormat="1" ht="16.5" thickBot="1" x14ac:dyDescent="0.3">
      <c r="A100" s="122" t="s">
        <v>647</v>
      </c>
      <c r="B100" s="255">
        <v>1.0214070044000001</v>
      </c>
      <c r="C100" s="342">
        <v>2</v>
      </c>
    </row>
    <row r="101" spans="1:3" s="342" customFormat="1" ht="30.75" thickBot="1" x14ac:dyDescent="0.3">
      <c r="A101" s="564" t="s">
        <v>742</v>
      </c>
      <c r="B101" s="565">
        <v>5.0677353360000001</v>
      </c>
      <c r="C101" s="341">
        <v>40</v>
      </c>
    </row>
    <row r="102" spans="1:3" s="342" customFormat="1" ht="16.5" thickBot="1" x14ac:dyDescent="0.3">
      <c r="A102" s="122" t="s">
        <v>386</v>
      </c>
      <c r="B102" s="223">
        <f>B101/$B$27</f>
        <v>1.8418356274624167E-2</v>
      </c>
    </row>
    <row r="103" spans="1:3" s="342" customFormat="1" ht="16.5" thickBot="1" x14ac:dyDescent="0.3">
      <c r="A103" s="122" t="s">
        <v>646</v>
      </c>
      <c r="B103" s="255">
        <v>5.0677353360000001</v>
      </c>
      <c r="C103" s="342">
        <v>1</v>
      </c>
    </row>
    <row r="104" spans="1:3" s="342" customFormat="1" ht="16.5" thickBot="1" x14ac:dyDescent="0.3">
      <c r="A104" s="122" t="s">
        <v>647</v>
      </c>
      <c r="B104" s="255">
        <v>5.0677353360000001</v>
      </c>
      <c r="C104" s="342">
        <v>2</v>
      </c>
    </row>
    <row r="105" spans="1:3" s="342" customFormat="1" ht="30.75" thickBot="1" x14ac:dyDescent="0.3">
      <c r="A105" s="564" t="s">
        <v>723</v>
      </c>
      <c r="B105" s="565">
        <v>0.12958500000000001</v>
      </c>
      <c r="C105" s="341">
        <v>40</v>
      </c>
    </row>
    <row r="106" spans="1:3" s="342" customFormat="1" ht="16.5" thickBot="1" x14ac:dyDescent="0.3">
      <c r="A106" s="122" t="s">
        <v>386</v>
      </c>
      <c r="B106" s="223">
        <f>B105/$B$27</f>
        <v>4.7096830035544954E-4</v>
      </c>
    </row>
    <row r="107" spans="1:3" s="342" customFormat="1" ht="16.5" thickBot="1" x14ac:dyDescent="0.3">
      <c r="A107" s="122" t="s">
        <v>646</v>
      </c>
      <c r="B107" s="255">
        <v>0.12958500000000001</v>
      </c>
      <c r="C107" s="342">
        <v>1</v>
      </c>
    </row>
    <row r="108" spans="1:3" s="342" customFormat="1" ht="16.5" thickBot="1" x14ac:dyDescent="0.3">
      <c r="A108" s="122" t="s">
        <v>647</v>
      </c>
      <c r="B108" s="255">
        <v>0.12958500000000001</v>
      </c>
      <c r="C108" s="342">
        <v>2</v>
      </c>
    </row>
    <row r="109" spans="1:3" s="342" customFormat="1" ht="30.75" thickBot="1" x14ac:dyDescent="0.3">
      <c r="A109" s="564" t="s">
        <v>767</v>
      </c>
      <c r="B109" s="565">
        <v>-0.45588340000000005</v>
      </c>
      <c r="C109" s="341">
        <v>40</v>
      </c>
    </row>
    <row r="110" spans="1:3" s="342" customFormat="1" ht="16.5" thickBot="1" x14ac:dyDescent="0.3">
      <c r="A110" s="122" t="s">
        <v>386</v>
      </c>
      <c r="B110" s="223">
        <f>B109/$B$27</f>
        <v>-1.6568787286974846E-3</v>
      </c>
    </row>
    <row r="111" spans="1:3" s="342" customFormat="1" ht="16.5" thickBot="1" x14ac:dyDescent="0.3">
      <c r="A111" s="122" t="s">
        <v>646</v>
      </c>
      <c r="B111" s="255">
        <v>-0.45588340000000005</v>
      </c>
      <c r="C111" s="342">
        <v>1</v>
      </c>
    </row>
    <row r="112" spans="1:3" s="342" customFormat="1" ht="16.5" thickBot="1" x14ac:dyDescent="0.3">
      <c r="A112" s="122" t="s">
        <v>647</v>
      </c>
      <c r="B112" s="255">
        <v>-0.45588340000000005</v>
      </c>
      <c r="C112" s="342">
        <v>2</v>
      </c>
    </row>
    <row r="113" spans="1:2" s="342" customFormat="1" ht="16.5" thickBot="1" x14ac:dyDescent="0.3">
      <c r="A113" s="118" t="s">
        <v>393</v>
      </c>
      <c r="B113" s="224">
        <f>B114/$B$27</f>
        <v>1.0000000004012415</v>
      </c>
    </row>
    <row r="114" spans="1:2" s="342" customFormat="1" ht="16.5" thickBot="1" x14ac:dyDescent="0.3">
      <c r="A114" s="118" t="s">
        <v>394</v>
      </c>
      <c r="B114" s="257">
        <f xml:space="preserve"> SUMIF(C33:C112, 1,B33:B112)</f>
        <v>275.1459067504</v>
      </c>
    </row>
    <row r="115" spans="1:2" s="342" customFormat="1" ht="16.5" thickBot="1" x14ac:dyDescent="0.3">
      <c r="A115" s="118" t="s">
        <v>395</v>
      </c>
      <c r="B115" s="224">
        <f>B116/$B$27</f>
        <v>0.99742475122289531</v>
      </c>
    </row>
    <row r="116" spans="1:2" s="342" customFormat="1" ht="16.5" thickBot="1" x14ac:dyDescent="0.3">
      <c r="A116" s="119" t="s">
        <v>396</v>
      </c>
      <c r="B116" s="257">
        <f xml:space="preserve"> SUMIF(C33:C112, 2,B33:B112)</f>
        <v>274.4373374804</v>
      </c>
    </row>
    <row r="117" spans="1:2" ht="15.75" customHeight="1" x14ac:dyDescent="0.25">
      <c r="A117" s="121" t="s">
        <v>397</v>
      </c>
      <c r="B117" s="123" t="s">
        <v>398</v>
      </c>
    </row>
    <row r="118" spans="1:2" x14ac:dyDescent="0.25">
      <c r="A118" s="124" t="s">
        <v>399</v>
      </c>
      <c r="B118" s="124" t="s">
        <v>522</v>
      </c>
    </row>
    <row r="119" spans="1:2" x14ac:dyDescent="0.25">
      <c r="A119" s="124" t="s">
        <v>400</v>
      </c>
      <c r="B119" s="124"/>
    </row>
    <row r="120" spans="1:2" x14ac:dyDescent="0.25">
      <c r="A120" s="124" t="s">
        <v>401</v>
      </c>
      <c r="B120" s="124"/>
    </row>
    <row r="121" spans="1:2" ht="135" x14ac:dyDescent="0.25">
      <c r="A121" s="124" t="s">
        <v>402</v>
      </c>
      <c r="B121" s="124" t="s">
        <v>765</v>
      </c>
    </row>
    <row r="122" spans="1:2" ht="16.5" thickBot="1" x14ac:dyDescent="0.3">
      <c r="A122" s="125" t="s">
        <v>403</v>
      </c>
      <c r="B122" s="125"/>
    </row>
    <row r="123" spans="1:2" ht="30.75" thickBot="1" x14ac:dyDescent="0.3">
      <c r="A123" s="123" t="s">
        <v>404</v>
      </c>
      <c r="B123" s="258" t="s">
        <v>542</v>
      </c>
    </row>
    <row r="124" spans="1:2" ht="29.25" thickBot="1" x14ac:dyDescent="0.3">
      <c r="A124" s="118" t="s">
        <v>405</v>
      </c>
      <c r="B124" s="258" t="s">
        <v>542</v>
      </c>
    </row>
    <row r="125" spans="1:2" ht="16.5" thickBot="1" x14ac:dyDescent="0.3">
      <c r="A125" s="123" t="s">
        <v>384</v>
      </c>
      <c r="B125" s="259"/>
    </row>
    <row r="126" spans="1:2" ht="16.5" thickBot="1" x14ac:dyDescent="0.3">
      <c r="A126" s="123" t="s">
        <v>406</v>
      </c>
      <c r="B126" s="258" t="s">
        <v>542</v>
      </c>
    </row>
    <row r="127" spans="1:2" ht="16.5" thickBot="1" x14ac:dyDescent="0.3">
      <c r="A127" s="123" t="s">
        <v>407</v>
      </c>
      <c r="B127" s="259" t="s">
        <v>542</v>
      </c>
    </row>
    <row r="128" spans="1:2" ht="16.5" thickBot="1" x14ac:dyDescent="0.3">
      <c r="A128" s="130" t="s">
        <v>408</v>
      </c>
      <c r="B128" s="254" t="str">
        <f>CONCATENATE("приборы коммерческого учета электроэнергии - ",'6.2. Паспорт фин осв ввод'!D57," точек учета")</f>
        <v>приборы коммерческого учета электроэнергии - 0 точек учета</v>
      </c>
    </row>
    <row r="129" spans="1:2" ht="16.5" thickBot="1" x14ac:dyDescent="0.3">
      <c r="A129" s="118" t="s">
        <v>409</v>
      </c>
      <c r="B129" s="128"/>
    </row>
    <row r="130" spans="1:2" ht="90.75" thickBot="1" x14ac:dyDescent="0.3">
      <c r="A130" s="124" t="s">
        <v>410</v>
      </c>
      <c r="B130" s="131" t="str">
        <f>'6.1. Паспорт сетевой график'!D43</f>
        <v>31.10.2014
31.10.2015
31.10.2016
31.10.2017
31.10.2019
31.10.2020</v>
      </c>
    </row>
    <row r="131" spans="1:2" ht="16.5" thickBot="1" x14ac:dyDescent="0.3">
      <c r="A131" s="124" t="s">
        <v>411</v>
      </c>
      <c r="B131" s="131" t="s">
        <v>525</v>
      </c>
    </row>
    <row r="132" spans="1:2" ht="16.5" thickBot="1" x14ac:dyDescent="0.3">
      <c r="A132" s="124" t="s">
        <v>412</v>
      </c>
      <c r="B132" s="131" t="s">
        <v>525</v>
      </c>
    </row>
    <row r="133" spans="1:2" ht="29.25" thickBot="1" x14ac:dyDescent="0.3">
      <c r="A133" s="132" t="s">
        <v>413</v>
      </c>
      <c r="B133" s="129" t="s">
        <v>761</v>
      </c>
    </row>
    <row r="134" spans="1:2" ht="28.5" customHeight="1" x14ac:dyDescent="0.25">
      <c r="A134" s="121" t="s">
        <v>414</v>
      </c>
      <c r="B134" s="561" t="s">
        <v>725</v>
      </c>
    </row>
    <row r="135" spans="1:2" x14ac:dyDescent="0.25">
      <c r="A135" s="124" t="s">
        <v>415</v>
      </c>
      <c r="B135" s="562"/>
    </row>
    <row r="136" spans="1:2" x14ac:dyDescent="0.25">
      <c r="A136" s="124" t="s">
        <v>416</v>
      </c>
      <c r="B136" s="562"/>
    </row>
    <row r="137" spans="1:2" x14ac:dyDescent="0.25">
      <c r="A137" s="124" t="s">
        <v>417</v>
      </c>
      <c r="B137" s="562"/>
    </row>
    <row r="138" spans="1:2" x14ac:dyDescent="0.25">
      <c r="A138" s="124" t="s">
        <v>418</v>
      </c>
      <c r="B138" s="562"/>
    </row>
    <row r="139" spans="1:2" ht="16.5" thickBot="1" x14ac:dyDescent="0.3">
      <c r="A139" s="133" t="s">
        <v>419</v>
      </c>
      <c r="B139" s="563"/>
    </row>
    <row r="142" spans="1:2" x14ac:dyDescent="0.25">
      <c r="A142" s="134"/>
      <c r="B142" s="135"/>
    </row>
    <row r="143" spans="1:2" x14ac:dyDescent="0.25">
      <c r="B143" s="136"/>
    </row>
    <row r="144" spans="1:2" x14ac:dyDescent="0.25">
      <c r="B144" s="137"/>
    </row>
  </sheetData>
  <mergeCells count="10">
    <mergeCell ref="A15:B15"/>
    <mergeCell ref="A16:B16"/>
    <mergeCell ref="A18:B18"/>
    <mergeCell ref="B134:B139"/>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SheetLayoutView="100" workbookViewId="0">
      <selection activeCell="E25" sqref="E2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5"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35" t="str">
        <f>'1. паспорт местоположение'!A5:C5</f>
        <v>Год раскрытия информации: 2022 год</v>
      </c>
      <c r="B4" s="435"/>
      <c r="C4" s="435"/>
      <c r="D4" s="435"/>
      <c r="E4" s="435"/>
      <c r="F4" s="435"/>
      <c r="G4" s="435"/>
      <c r="H4" s="435"/>
      <c r="I4" s="435"/>
      <c r="J4" s="435"/>
      <c r="K4" s="435"/>
      <c r="L4" s="435"/>
      <c r="M4" s="435"/>
      <c r="N4" s="435"/>
      <c r="O4" s="435"/>
      <c r="P4" s="435"/>
      <c r="Q4" s="435"/>
      <c r="R4" s="435"/>
      <c r="S4" s="435"/>
    </row>
    <row r="5" spans="1:28" s="12" customFormat="1" ht="15.75" x14ac:dyDescent="0.2">
      <c r="A5" s="17"/>
    </row>
    <row r="6" spans="1:28" s="12" customFormat="1" ht="18.75" x14ac:dyDescent="0.2">
      <c r="A6" s="443" t="s">
        <v>7</v>
      </c>
      <c r="B6" s="443"/>
      <c r="C6" s="443"/>
      <c r="D6" s="443"/>
      <c r="E6" s="443"/>
      <c r="F6" s="443"/>
      <c r="G6" s="443"/>
      <c r="H6" s="443"/>
      <c r="I6" s="443"/>
      <c r="J6" s="443"/>
      <c r="K6" s="443"/>
      <c r="L6" s="443"/>
      <c r="M6" s="443"/>
      <c r="N6" s="443"/>
      <c r="O6" s="443"/>
      <c r="P6" s="443"/>
      <c r="Q6" s="443"/>
      <c r="R6" s="443"/>
      <c r="S6" s="443"/>
      <c r="T6" s="13"/>
      <c r="U6" s="13"/>
      <c r="V6" s="13"/>
      <c r="W6" s="13"/>
      <c r="X6" s="13"/>
      <c r="Y6" s="13"/>
      <c r="Z6" s="13"/>
      <c r="AA6" s="13"/>
      <c r="AB6" s="13"/>
    </row>
    <row r="7" spans="1:28" s="12" customFormat="1" ht="18.75" x14ac:dyDescent="0.2">
      <c r="A7" s="443"/>
      <c r="B7" s="443"/>
      <c r="C7" s="443"/>
      <c r="D7" s="443"/>
      <c r="E7" s="443"/>
      <c r="F7" s="443"/>
      <c r="G7" s="443"/>
      <c r="H7" s="443"/>
      <c r="I7" s="443"/>
      <c r="J7" s="443"/>
      <c r="K7" s="443"/>
      <c r="L7" s="443"/>
      <c r="M7" s="443"/>
      <c r="N7" s="443"/>
      <c r="O7" s="443"/>
      <c r="P7" s="443"/>
      <c r="Q7" s="443"/>
      <c r="R7" s="443"/>
      <c r="S7" s="443"/>
      <c r="T7" s="13"/>
      <c r="U7" s="13"/>
      <c r="V7" s="13"/>
      <c r="W7" s="13"/>
      <c r="X7" s="13"/>
      <c r="Y7" s="13"/>
      <c r="Z7" s="13"/>
      <c r="AA7" s="13"/>
      <c r="AB7" s="13"/>
    </row>
    <row r="8" spans="1:28" s="12" customFormat="1" ht="18.75" x14ac:dyDescent="0.2">
      <c r="A8" s="444" t="str">
        <f>'1. паспорт местоположение'!A9:C9</f>
        <v>Акционерное общество "Янтарьэнерго" ДЗО  ПАО "Россети"</v>
      </c>
      <c r="B8" s="444"/>
      <c r="C8" s="444"/>
      <c r="D8" s="444"/>
      <c r="E8" s="444"/>
      <c r="F8" s="444"/>
      <c r="G8" s="444"/>
      <c r="H8" s="444"/>
      <c r="I8" s="444"/>
      <c r="J8" s="444"/>
      <c r="K8" s="444"/>
      <c r="L8" s="444"/>
      <c r="M8" s="444"/>
      <c r="N8" s="444"/>
      <c r="O8" s="444"/>
      <c r="P8" s="444"/>
      <c r="Q8" s="444"/>
      <c r="R8" s="444"/>
      <c r="S8" s="444"/>
      <c r="T8" s="13"/>
      <c r="U8" s="13"/>
      <c r="V8" s="13"/>
      <c r="W8" s="13"/>
      <c r="X8" s="13"/>
      <c r="Y8" s="13"/>
      <c r="Z8" s="13"/>
      <c r="AA8" s="13"/>
      <c r="AB8" s="13"/>
    </row>
    <row r="9" spans="1:28" s="12" customFormat="1" ht="18.75" x14ac:dyDescent="0.2">
      <c r="A9" s="448" t="s">
        <v>6</v>
      </c>
      <c r="B9" s="448"/>
      <c r="C9" s="448"/>
      <c r="D9" s="448"/>
      <c r="E9" s="448"/>
      <c r="F9" s="448"/>
      <c r="G9" s="448"/>
      <c r="H9" s="448"/>
      <c r="I9" s="448"/>
      <c r="J9" s="448"/>
      <c r="K9" s="448"/>
      <c r="L9" s="448"/>
      <c r="M9" s="448"/>
      <c r="N9" s="448"/>
      <c r="O9" s="448"/>
      <c r="P9" s="448"/>
      <c r="Q9" s="448"/>
      <c r="R9" s="448"/>
      <c r="S9" s="448"/>
      <c r="T9" s="13"/>
      <c r="U9" s="13"/>
      <c r="V9" s="13"/>
      <c r="W9" s="13"/>
      <c r="X9" s="13"/>
      <c r="Y9" s="13"/>
      <c r="Z9" s="13"/>
      <c r="AA9" s="13"/>
      <c r="AB9" s="13"/>
    </row>
    <row r="10" spans="1:28" s="12" customFormat="1" ht="18.75" x14ac:dyDescent="0.2">
      <c r="A10" s="443"/>
      <c r="B10" s="443"/>
      <c r="C10" s="443"/>
      <c r="D10" s="443"/>
      <c r="E10" s="443"/>
      <c r="F10" s="443"/>
      <c r="G10" s="443"/>
      <c r="H10" s="443"/>
      <c r="I10" s="443"/>
      <c r="J10" s="443"/>
      <c r="K10" s="443"/>
      <c r="L10" s="443"/>
      <c r="M10" s="443"/>
      <c r="N10" s="443"/>
      <c r="O10" s="443"/>
      <c r="P10" s="443"/>
      <c r="Q10" s="443"/>
      <c r="R10" s="443"/>
      <c r="S10" s="443"/>
      <c r="T10" s="13"/>
      <c r="U10" s="13"/>
      <c r="V10" s="13"/>
      <c r="W10" s="13"/>
      <c r="X10" s="13"/>
      <c r="Y10" s="13"/>
      <c r="Z10" s="13"/>
      <c r="AA10" s="13"/>
      <c r="AB10" s="13"/>
    </row>
    <row r="11" spans="1:28" s="12" customFormat="1" ht="18.75" x14ac:dyDescent="0.2">
      <c r="A11" s="444" t="str">
        <f>'1. паспорт местоположение'!A12:C12</f>
        <v>F_48-НН</v>
      </c>
      <c r="B11" s="444"/>
      <c r="C11" s="444"/>
      <c r="D11" s="444"/>
      <c r="E11" s="444"/>
      <c r="F11" s="444"/>
      <c r="G11" s="444"/>
      <c r="H11" s="444"/>
      <c r="I11" s="444"/>
      <c r="J11" s="444"/>
      <c r="K11" s="444"/>
      <c r="L11" s="444"/>
      <c r="M11" s="444"/>
      <c r="N11" s="444"/>
      <c r="O11" s="444"/>
      <c r="P11" s="444"/>
      <c r="Q11" s="444"/>
      <c r="R11" s="444"/>
      <c r="S11" s="444"/>
      <c r="T11" s="13"/>
      <c r="U11" s="13"/>
      <c r="V11" s="13"/>
      <c r="W11" s="13"/>
      <c r="X11" s="13"/>
      <c r="Y11" s="13"/>
      <c r="Z11" s="13"/>
      <c r="AA11" s="13"/>
      <c r="AB11" s="13"/>
    </row>
    <row r="12" spans="1:28" s="12" customFormat="1" ht="18.75" x14ac:dyDescent="0.2">
      <c r="A12" s="448" t="s">
        <v>5</v>
      </c>
      <c r="B12" s="448"/>
      <c r="C12" s="448"/>
      <c r="D12" s="448"/>
      <c r="E12" s="448"/>
      <c r="F12" s="448"/>
      <c r="G12" s="448"/>
      <c r="H12" s="448"/>
      <c r="I12" s="448"/>
      <c r="J12" s="448"/>
      <c r="K12" s="448"/>
      <c r="L12" s="448"/>
      <c r="M12" s="448"/>
      <c r="N12" s="448"/>
      <c r="O12" s="448"/>
      <c r="P12" s="448"/>
      <c r="Q12" s="448"/>
      <c r="R12" s="448"/>
      <c r="S12" s="448"/>
      <c r="T12" s="13"/>
      <c r="U12" s="13"/>
      <c r="V12" s="13"/>
      <c r="W12" s="13"/>
      <c r="X12" s="13"/>
      <c r="Y12" s="13"/>
      <c r="Z12" s="13"/>
      <c r="AA12" s="13"/>
      <c r="AB12" s="13"/>
    </row>
    <row r="13" spans="1:28" s="9" customFormat="1" ht="15.75" customHeight="1" x14ac:dyDescent="0.2">
      <c r="A13" s="449"/>
      <c r="B13" s="449"/>
      <c r="C13" s="449"/>
      <c r="D13" s="449"/>
      <c r="E13" s="449"/>
      <c r="F13" s="449"/>
      <c r="G13" s="449"/>
      <c r="H13" s="449"/>
      <c r="I13" s="449"/>
      <c r="J13" s="449"/>
      <c r="K13" s="449"/>
      <c r="L13" s="449"/>
      <c r="M13" s="449"/>
      <c r="N13" s="449"/>
      <c r="O13" s="449"/>
      <c r="P13" s="449"/>
      <c r="Q13" s="449"/>
      <c r="R13" s="449"/>
      <c r="S13" s="449"/>
      <c r="T13" s="10"/>
      <c r="U13" s="10"/>
      <c r="V13" s="10"/>
      <c r="W13" s="10"/>
      <c r="X13" s="10"/>
      <c r="Y13" s="10"/>
      <c r="Z13" s="10"/>
      <c r="AA13" s="10"/>
      <c r="AB13" s="10"/>
    </row>
    <row r="14" spans="1:28" s="3" customFormat="1" ht="12" x14ac:dyDescent="0.2">
      <c r="A14" s="444" t="str">
        <f>'1. паспорт местоположение'!A15</f>
        <v>Организация интеллектуальной системы учета электроэнергии (приобретение компонентов интеллектуальной системы учета, выполнение проектных, строительно-монтажных и пусконаладочных работ по модернизации / созданию интеллектуальной системы учета электроэнергии)</v>
      </c>
      <c r="B14" s="444"/>
      <c r="C14" s="444"/>
      <c r="D14" s="444"/>
      <c r="E14" s="444"/>
      <c r="F14" s="444"/>
      <c r="G14" s="444"/>
      <c r="H14" s="444"/>
      <c r="I14" s="444"/>
      <c r="J14" s="444"/>
      <c r="K14" s="444"/>
      <c r="L14" s="444"/>
      <c r="M14" s="444"/>
      <c r="N14" s="444"/>
      <c r="O14" s="444"/>
      <c r="P14" s="444"/>
      <c r="Q14" s="444"/>
      <c r="R14" s="444"/>
      <c r="S14" s="444"/>
      <c r="T14" s="8"/>
      <c r="U14" s="8"/>
      <c r="V14" s="8"/>
      <c r="W14" s="8"/>
      <c r="X14" s="8"/>
      <c r="Y14" s="8"/>
      <c r="Z14" s="8"/>
      <c r="AA14" s="8"/>
      <c r="AB14" s="8"/>
    </row>
    <row r="15" spans="1:28" s="3" customFormat="1" ht="15" customHeight="1" x14ac:dyDescent="0.2">
      <c r="A15" s="448" t="s">
        <v>4</v>
      </c>
      <c r="B15" s="448"/>
      <c r="C15" s="448"/>
      <c r="D15" s="448"/>
      <c r="E15" s="448"/>
      <c r="F15" s="448"/>
      <c r="G15" s="448"/>
      <c r="H15" s="448"/>
      <c r="I15" s="448"/>
      <c r="J15" s="448"/>
      <c r="K15" s="448"/>
      <c r="L15" s="448"/>
      <c r="M15" s="448"/>
      <c r="N15" s="448"/>
      <c r="O15" s="448"/>
      <c r="P15" s="448"/>
      <c r="Q15" s="448"/>
      <c r="R15" s="448"/>
      <c r="S15" s="448"/>
      <c r="T15" s="6"/>
      <c r="U15" s="6"/>
      <c r="V15" s="6"/>
      <c r="W15" s="6"/>
      <c r="X15" s="6"/>
      <c r="Y15" s="6"/>
      <c r="Z15" s="6"/>
      <c r="AA15" s="6"/>
      <c r="AB15" s="6"/>
    </row>
    <row r="16" spans="1:28" s="3" customFormat="1" ht="15" customHeight="1" x14ac:dyDescent="0.2">
      <c r="A16" s="450"/>
      <c r="B16" s="450"/>
      <c r="C16" s="450"/>
      <c r="D16" s="450"/>
      <c r="E16" s="450"/>
      <c r="F16" s="450"/>
      <c r="G16" s="450"/>
      <c r="H16" s="450"/>
      <c r="I16" s="450"/>
      <c r="J16" s="450"/>
      <c r="K16" s="450"/>
      <c r="L16" s="450"/>
      <c r="M16" s="450"/>
      <c r="N16" s="450"/>
      <c r="O16" s="450"/>
      <c r="P16" s="450"/>
      <c r="Q16" s="450"/>
      <c r="R16" s="450"/>
      <c r="S16" s="450"/>
      <c r="T16" s="4"/>
      <c r="U16" s="4"/>
      <c r="V16" s="4"/>
      <c r="W16" s="4"/>
      <c r="X16" s="4"/>
      <c r="Y16" s="4"/>
    </row>
    <row r="17" spans="1:28" s="3" customFormat="1" ht="45.75" customHeight="1" x14ac:dyDescent="0.2">
      <c r="A17" s="451" t="s">
        <v>478</v>
      </c>
      <c r="B17" s="451"/>
      <c r="C17" s="451"/>
      <c r="D17" s="451"/>
      <c r="E17" s="451"/>
      <c r="F17" s="451"/>
      <c r="G17" s="451"/>
      <c r="H17" s="451"/>
      <c r="I17" s="451"/>
      <c r="J17" s="451"/>
      <c r="K17" s="451"/>
      <c r="L17" s="451"/>
      <c r="M17" s="451"/>
      <c r="N17" s="451"/>
      <c r="O17" s="451"/>
      <c r="P17" s="451"/>
      <c r="Q17" s="451"/>
      <c r="R17" s="451"/>
      <c r="S17" s="451"/>
      <c r="T17" s="7"/>
      <c r="U17" s="7"/>
      <c r="V17" s="7"/>
      <c r="W17" s="7"/>
      <c r="X17" s="7"/>
      <c r="Y17" s="7"/>
      <c r="Z17" s="7"/>
      <c r="AA17" s="7"/>
      <c r="AB17" s="7"/>
    </row>
    <row r="18" spans="1:28" s="3" customFormat="1" ht="15" customHeight="1" x14ac:dyDescent="0.2">
      <c r="A18" s="452"/>
      <c r="B18" s="452"/>
      <c r="C18" s="452"/>
      <c r="D18" s="452"/>
      <c r="E18" s="452"/>
      <c r="F18" s="452"/>
      <c r="G18" s="452"/>
      <c r="H18" s="452"/>
      <c r="I18" s="452"/>
      <c r="J18" s="452"/>
      <c r="K18" s="452"/>
      <c r="L18" s="452"/>
      <c r="M18" s="452"/>
      <c r="N18" s="452"/>
      <c r="O18" s="452"/>
      <c r="P18" s="452"/>
      <c r="Q18" s="452"/>
      <c r="R18" s="452"/>
      <c r="S18" s="452"/>
      <c r="T18" s="4"/>
      <c r="U18" s="4"/>
      <c r="V18" s="4"/>
      <c r="W18" s="4"/>
      <c r="X18" s="4"/>
      <c r="Y18" s="4"/>
    </row>
    <row r="19" spans="1:28" s="3" customFormat="1" ht="54" customHeight="1" x14ac:dyDescent="0.2">
      <c r="A19" s="442" t="s">
        <v>3</v>
      </c>
      <c r="B19" s="442" t="s">
        <v>96</v>
      </c>
      <c r="C19" s="445" t="s">
        <v>377</v>
      </c>
      <c r="D19" s="442" t="s">
        <v>376</v>
      </c>
      <c r="E19" s="442" t="s">
        <v>95</v>
      </c>
      <c r="F19" s="442" t="s">
        <v>94</v>
      </c>
      <c r="G19" s="442" t="s">
        <v>372</v>
      </c>
      <c r="H19" s="442" t="s">
        <v>93</v>
      </c>
      <c r="I19" s="442" t="s">
        <v>92</v>
      </c>
      <c r="J19" s="442" t="s">
        <v>91</v>
      </c>
      <c r="K19" s="442" t="s">
        <v>90</v>
      </c>
      <c r="L19" s="442" t="s">
        <v>89</v>
      </c>
      <c r="M19" s="442" t="s">
        <v>88</v>
      </c>
      <c r="N19" s="442" t="s">
        <v>87</v>
      </c>
      <c r="O19" s="442" t="s">
        <v>86</v>
      </c>
      <c r="P19" s="442" t="s">
        <v>85</v>
      </c>
      <c r="Q19" s="442" t="s">
        <v>375</v>
      </c>
      <c r="R19" s="442"/>
      <c r="S19" s="447" t="s">
        <v>472</v>
      </c>
      <c r="T19" s="4"/>
      <c r="U19" s="4"/>
      <c r="V19" s="4"/>
      <c r="W19" s="4"/>
      <c r="X19" s="4"/>
      <c r="Y19" s="4"/>
    </row>
    <row r="20" spans="1:28" s="3" customFormat="1" ht="180.75" customHeight="1" x14ac:dyDescent="0.2">
      <c r="A20" s="442"/>
      <c r="B20" s="442"/>
      <c r="C20" s="446"/>
      <c r="D20" s="442"/>
      <c r="E20" s="442"/>
      <c r="F20" s="442"/>
      <c r="G20" s="442"/>
      <c r="H20" s="442"/>
      <c r="I20" s="442"/>
      <c r="J20" s="442"/>
      <c r="K20" s="442"/>
      <c r="L20" s="442"/>
      <c r="M20" s="442"/>
      <c r="N20" s="442"/>
      <c r="O20" s="442"/>
      <c r="P20" s="442"/>
      <c r="Q20" s="36" t="s">
        <v>373</v>
      </c>
      <c r="R20" s="37" t="s">
        <v>374</v>
      </c>
      <c r="S20" s="447"/>
      <c r="T20" s="28"/>
      <c r="U20" s="28"/>
      <c r="V20" s="28"/>
      <c r="W20" s="28"/>
      <c r="X20" s="28"/>
      <c r="Y20" s="28"/>
      <c r="Z20" s="27"/>
      <c r="AA20" s="27"/>
      <c r="AB20" s="27"/>
    </row>
    <row r="21" spans="1:28" s="3" customFormat="1" ht="18.75" x14ac:dyDescent="0.2">
      <c r="A21" s="36">
        <v>1</v>
      </c>
      <c r="B21" s="40">
        <v>2</v>
      </c>
      <c r="C21" s="36">
        <v>3</v>
      </c>
      <c r="D21" s="40">
        <v>4</v>
      </c>
      <c r="E21" s="36">
        <v>5</v>
      </c>
      <c r="F21" s="40">
        <v>6</v>
      </c>
      <c r="G21" s="142">
        <v>7</v>
      </c>
      <c r="H21" s="143">
        <v>8</v>
      </c>
      <c r="I21" s="142">
        <v>9</v>
      </c>
      <c r="J21" s="143">
        <v>10</v>
      </c>
      <c r="K21" s="142">
        <v>11</v>
      </c>
      <c r="L21" s="143">
        <v>12</v>
      </c>
      <c r="M21" s="142">
        <v>13</v>
      </c>
      <c r="N21" s="143">
        <v>14</v>
      </c>
      <c r="O21" s="142">
        <v>15</v>
      </c>
      <c r="P21" s="143">
        <v>16</v>
      </c>
      <c r="Q21" s="142">
        <v>17</v>
      </c>
      <c r="R21" s="143">
        <v>18</v>
      </c>
      <c r="S21" s="142">
        <v>19</v>
      </c>
      <c r="T21" s="28"/>
      <c r="U21" s="28"/>
      <c r="V21" s="28"/>
      <c r="W21" s="28"/>
      <c r="X21" s="28"/>
      <c r="Y21" s="28"/>
      <c r="Z21" s="27"/>
      <c r="AA21" s="27"/>
      <c r="AB21" s="27"/>
    </row>
    <row r="22" spans="1:28" s="3" customFormat="1" ht="32.25" customHeight="1" x14ac:dyDescent="0.2">
      <c r="A22" s="36"/>
      <c r="B22" s="40" t="s">
        <v>84</v>
      </c>
      <c r="C22" s="40"/>
      <c r="D22" s="40"/>
      <c r="E22" s="40"/>
      <c r="F22" s="40"/>
      <c r="G22" s="40"/>
      <c r="H22" s="40"/>
      <c r="I22" s="40"/>
      <c r="J22" s="40"/>
      <c r="K22" s="40"/>
      <c r="L22" s="40"/>
      <c r="M22" s="40"/>
      <c r="N22" s="40"/>
      <c r="O22" s="40"/>
      <c r="P22" s="40"/>
      <c r="Q22" s="34"/>
      <c r="R22" s="5"/>
      <c r="S22" s="141"/>
      <c r="T22" s="28"/>
      <c r="U22" s="28"/>
      <c r="V22" s="28"/>
      <c r="W22" s="28"/>
      <c r="X22" s="28"/>
      <c r="Y22" s="28"/>
      <c r="Z22" s="27"/>
      <c r="AA22" s="27"/>
      <c r="AB22" s="27"/>
    </row>
    <row r="23" spans="1:28" s="3" customFormat="1" ht="18.75" x14ac:dyDescent="0.2">
      <c r="A23" s="36"/>
      <c r="B23" s="40" t="s">
        <v>84</v>
      </c>
      <c r="C23" s="40"/>
      <c r="D23" s="40"/>
      <c r="E23" s="40"/>
      <c r="F23" s="40"/>
      <c r="G23" s="40"/>
      <c r="H23" s="30"/>
      <c r="I23" s="30"/>
      <c r="J23" s="30"/>
      <c r="K23" s="30"/>
      <c r="L23" s="30"/>
      <c r="M23" s="30"/>
      <c r="N23" s="30"/>
      <c r="O23" s="30"/>
      <c r="P23" s="30"/>
      <c r="Q23" s="30"/>
      <c r="R23" s="5"/>
      <c r="S23" s="141"/>
      <c r="T23" s="28"/>
      <c r="U23" s="28"/>
      <c r="V23" s="28"/>
      <c r="W23" s="28"/>
      <c r="X23" s="27"/>
      <c r="Y23" s="27"/>
      <c r="Z23" s="27"/>
      <c r="AA23" s="27"/>
      <c r="AB23" s="27"/>
    </row>
    <row r="24" spans="1:28" s="3" customFormat="1" ht="18.75" x14ac:dyDescent="0.2">
      <c r="A24" s="36"/>
      <c r="B24" s="40" t="s">
        <v>84</v>
      </c>
      <c r="C24" s="40"/>
      <c r="D24" s="40"/>
      <c r="E24" s="40"/>
      <c r="F24" s="40"/>
      <c r="G24" s="40"/>
      <c r="H24" s="30"/>
      <c r="I24" s="30"/>
      <c r="J24" s="30"/>
      <c r="K24" s="30"/>
      <c r="L24" s="30"/>
      <c r="M24" s="30"/>
      <c r="N24" s="30"/>
      <c r="O24" s="30"/>
      <c r="P24" s="30"/>
      <c r="Q24" s="30"/>
      <c r="R24" s="5"/>
      <c r="S24" s="141"/>
      <c r="T24" s="28"/>
      <c r="U24" s="28"/>
      <c r="V24" s="28"/>
      <c r="W24" s="28"/>
      <c r="X24" s="27"/>
      <c r="Y24" s="27"/>
      <c r="Z24" s="27"/>
      <c r="AA24" s="27"/>
      <c r="AB24" s="27"/>
    </row>
    <row r="25" spans="1:28" s="3" customFormat="1" ht="18.75" x14ac:dyDescent="0.2">
      <c r="A25" s="39"/>
      <c r="B25" s="40" t="s">
        <v>83</v>
      </c>
      <c r="C25" s="40"/>
      <c r="D25" s="40"/>
      <c r="E25" s="40"/>
      <c r="F25" s="40"/>
      <c r="G25" s="40"/>
      <c r="H25" s="30"/>
      <c r="I25" s="30"/>
      <c r="J25" s="30"/>
      <c r="K25" s="30"/>
      <c r="L25" s="30"/>
      <c r="M25" s="30"/>
      <c r="N25" s="30"/>
      <c r="O25" s="30"/>
      <c r="P25" s="30"/>
      <c r="Q25" s="30"/>
      <c r="R25" s="5"/>
      <c r="S25" s="141"/>
      <c r="T25" s="28"/>
      <c r="U25" s="28"/>
      <c r="V25" s="28"/>
      <c r="W25" s="28"/>
      <c r="X25" s="27"/>
      <c r="Y25" s="27"/>
      <c r="Z25" s="27"/>
      <c r="AA25" s="27"/>
      <c r="AB25" s="27"/>
    </row>
    <row r="26" spans="1:28" s="3" customFormat="1" ht="18.75" x14ac:dyDescent="0.2">
      <c r="A26" s="39"/>
      <c r="B26" s="40" t="s">
        <v>83</v>
      </c>
      <c r="C26" s="40"/>
      <c r="D26" s="40"/>
      <c r="E26" s="40"/>
      <c r="F26" s="40"/>
      <c r="G26" s="40"/>
      <c r="H26" s="30"/>
      <c r="I26" s="30"/>
      <c r="J26" s="30"/>
      <c r="K26" s="30"/>
      <c r="L26" s="30"/>
      <c r="M26" s="30"/>
      <c r="N26" s="30"/>
      <c r="O26" s="30"/>
      <c r="P26" s="30"/>
      <c r="Q26" s="30"/>
      <c r="R26" s="5"/>
      <c r="S26" s="141"/>
      <c r="T26" s="28"/>
      <c r="U26" s="28"/>
      <c r="V26" s="28"/>
      <c r="W26" s="28"/>
      <c r="X26" s="27"/>
      <c r="Y26" s="27"/>
      <c r="Z26" s="27"/>
      <c r="AA26" s="27"/>
      <c r="AB26" s="27"/>
    </row>
    <row r="27" spans="1:28" s="3" customFormat="1" ht="18.75" x14ac:dyDescent="0.2">
      <c r="A27" s="39"/>
      <c r="B27" s="40" t="s">
        <v>83</v>
      </c>
      <c r="C27" s="40"/>
      <c r="D27" s="40"/>
      <c r="E27" s="40"/>
      <c r="F27" s="40"/>
      <c r="G27" s="40"/>
      <c r="H27" s="30"/>
      <c r="I27" s="30"/>
      <c r="J27" s="30"/>
      <c r="K27" s="30"/>
      <c r="L27" s="30"/>
      <c r="M27" s="30"/>
      <c r="N27" s="30"/>
      <c r="O27" s="30"/>
      <c r="P27" s="30"/>
      <c r="Q27" s="30"/>
      <c r="R27" s="5"/>
      <c r="S27" s="141"/>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41"/>
      <c r="T28" s="28"/>
      <c r="U28" s="28"/>
      <c r="V28" s="28"/>
      <c r="W28" s="28"/>
      <c r="X28" s="27"/>
      <c r="Y28" s="27"/>
      <c r="Z28" s="27"/>
      <c r="AA28" s="27"/>
      <c r="AB28" s="27"/>
    </row>
    <row r="29" spans="1:28" ht="20.25" customHeight="1" x14ac:dyDescent="0.25">
      <c r="A29" s="110"/>
      <c r="B29" s="40" t="s">
        <v>370</v>
      </c>
      <c r="C29" s="40"/>
      <c r="D29" s="40"/>
      <c r="E29" s="110" t="s">
        <v>371</v>
      </c>
      <c r="F29" s="110" t="s">
        <v>371</v>
      </c>
      <c r="G29" s="110" t="s">
        <v>371</v>
      </c>
      <c r="H29" s="110"/>
      <c r="I29" s="110"/>
      <c r="J29" s="110"/>
      <c r="K29" s="110"/>
      <c r="L29" s="110"/>
      <c r="M29" s="110"/>
      <c r="N29" s="110"/>
      <c r="O29" s="110"/>
      <c r="P29" s="110"/>
      <c r="Q29" s="111"/>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70" zoomScaleNormal="60" zoomScaleSheetLayoutView="70" workbookViewId="0">
      <selection activeCell="A7" sqref="A7"/>
    </sheetView>
  </sheetViews>
  <sheetFormatPr defaultColWidth="10.7109375" defaultRowHeight="15.75" x14ac:dyDescent="0.25"/>
  <cols>
    <col min="1" max="1" width="9.5703125" style="41" customWidth="1"/>
    <col min="2" max="2" width="8.7109375" style="41" customWidth="1"/>
    <col min="3" max="3" width="12.7109375" style="41" customWidth="1"/>
    <col min="4" max="4" width="16.140625" style="41" customWidth="1"/>
    <col min="5" max="5" width="11.140625" style="41" customWidth="1"/>
    <col min="6" max="6" width="11" style="41" customWidth="1"/>
    <col min="7" max="8" width="8.710937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5"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35" t="str">
        <f>'1. паспорт местоположение'!A5:C5</f>
        <v>Год раскрытия информации: 2022 год</v>
      </c>
      <c r="B6" s="435"/>
      <c r="C6" s="435"/>
      <c r="D6" s="435"/>
      <c r="E6" s="435"/>
      <c r="F6" s="435"/>
      <c r="G6" s="435"/>
      <c r="H6" s="435"/>
      <c r="I6" s="435"/>
      <c r="J6" s="435"/>
      <c r="K6" s="435"/>
      <c r="L6" s="435"/>
      <c r="M6" s="435"/>
      <c r="N6" s="435"/>
      <c r="O6" s="435"/>
      <c r="P6" s="435"/>
      <c r="Q6" s="435"/>
      <c r="R6" s="435"/>
      <c r="S6" s="435"/>
      <c r="T6" s="435"/>
    </row>
    <row r="7" spans="1:20" s="12" customFormat="1" x14ac:dyDescent="0.2">
      <c r="A7" s="17"/>
      <c r="H7" s="16"/>
    </row>
    <row r="8" spans="1:20" s="12" customFormat="1" ht="18.75" x14ac:dyDescent="0.2">
      <c r="A8" s="443" t="s">
        <v>7</v>
      </c>
      <c r="B8" s="443"/>
      <c r="C8" s="443"/>
      <c r="D8" s="443"/>
      <c r="E8" s="443"/>
      <c r="F8" s="443"/>
      <c r="G8" s="443"/>
      <c r="H8" s="443"/>
      <c r="I8" s="443"/>
      <c r="J8" s="443"/>
      <c r="K8" s="443"/>
      <c r="L8" s="443"/>
      <c r="M8" s="443"/>
      <c r="N8" s="443"/>
      <c r="O8" s="443"/>
      <c r="P8" s="443"/>
      <c r="Q8" s="443"/>
      <c r="R8" s="443"/>
      <c r="S8" s="443"/>
      <c r="T8" s="443"/>
    </row>
    <row r="9" spans="1:20" s="12" customFormat="1" ht="18.75" x14ac:dyDescent="0.2">
      <c r="A9" s="443"/>
      <c r="B9" s="443"/>
      <c r="C9" s="443"/>
      <c r="D9" s="443"/>
      <c r="E9" s="443"/>
      <c r="F9" s="443"/>
      <c r="G9" s="443"/>
      <c r="H9" s="443"/>
      <c r="I9" s="443"/>
      <c r="J9" s="443"/>
      <c r="K9" s="443"/>
      <c r="L9" s="443"/>
      <c r="M9" s="443"/>
      <c r="N9" s="443"/>
      <c r="O9" s="443"/>
      <c r="P9" s="443"/>
      <c r="Q9" s="443"/>
      <c r="R9" s="443"/>
      <c r="S9" s="443"/>
      <c r="T9" s="443"/>
    </row>
    <row r="10" spans="1:20" s="12" customFormat="1" ht="18.75" customHeight="1" x14ac:dyDescent="0.2">
      <c r="A10" s="444" t="str">
        <f>'1. паспорт местоположение'!A9:C9</f>
        <v>Акционерное общество "Янтарьэнерго" ДЗО  ПАО "Россети"</v>
      </c>
      <c r="B10" s="444"/>
      <c r="C10" s="444"/>
      <c r="D10" s="444"/>
      <c r="E10" s="444"/>
      <c r="F10" s="444"/>
      <c r="G10" s="444"/>
      <c r="H10" s="444"/>
      <c r="I10" s="444"/>
      <c r="J10" s="444"/>
      <c r="K10" s="444"/>
      <c r="L10" s="444"/>
      <c r="M10" s="444"/>
      <c r="N10" s="444"/>
      <c r="O10" s="444"/>
      <c r="P10" s="444"/>
      <c r="Q10" s="444"/>
      <c r="R10" s="444"/>
      <c r="S10" s="444"/>
      <c r="T10" s="444"/>
    </row>
    <row r="11" spans="1:20" s="12" customFormat="1" ht="18.75" customHeight="1" x14ac:dyDescent="0.2">
      <c r="A11" s="448" t="s">
        <v>6</v>
      </c>
      <c r="B11" s="448"/>
      <c r="C11" s="448"/>
      <c r="D11" s="448"/>
      <c r="E11" s="448"/>
      <c r="F11" s="448"/>
      <c r="G11" s="448"/>
      <c r="H11" s="448"/>
      <c r="I11" s="448"/>
      <c r="J11" s="448"/>
      <c r="K11" s="448"/>
      <c r="L11" s="448"/>
      <c r="M11" s="448"/>
      <c r="N11" s="448"/>
      <c r="O11" s="448"/>
      <c r="P11" s="448"/>
      <c r="Q11" s="448"/>
      <c r="R11" s="448"/>
      <c r="S11" s="448"/>
      <c r="T11" s="448"/>
    </row>
    <row r="12" spans="1:20" s="12" customFormat="1" ht="18.75" x14ac:dyDescent="0.2">
      <c r="A12" s="443"/>
      <c r="B12" s="443"/>
      <c r="C12" s="443"/>
      <c r="D12" s="443"/>
      <c r="E12" s="443"/>
      <c r="F12" s="443"/>
      <c r="G12" s="443"/>
      <c r="H12" s="443"/>
      <c r="I12" s="443"/>
      <c r="J12" s="443"/>
      <c r="K12" s="443"/>
      <c r="L12" s="443"/>
      <c r="M12" s="443"/>
      <c r="N12" s="443"/>
      <c r="O12" s="443"/>
      <c r="P12" s="443"/>
      <c r="Q12" s="443"/>
      <c r="R12" s="443"/>
      <c r="S12" s="443"/>
      <c r="T12" s="443"/>
    </row>
    <row r="13" spans="1:20" s="12" customFormat="1" ht="18.75" customHeight="1" x14ac:dyDescent="0.2">
      <c r="A13" s="444" t="str">
        <f>'1. паспорт местоположение'!A12:C12</f>
        <v>F_48-НН</v>
      </c>
      <c r="B13" s="444"/>
      <c r="C13" s="444"/>
      <c r="D13" s="444"/>
      <c r="E13" s="444"/>
      <c r="F13" s="444"/>
      <c r="G13" s="444"/>
      <c r="H13" s="444"/>
      <c r="I13" s="444"/>
      <c r="J13" s="444"/>
      <c r="K13" s="444"/>
      <c r="L13" s="444"/>
      <c r="M13" s="444"/>
      <c r="N13" s="444"/>
      <c r="O13" s="444"/>
      <c r="P13" s="444"/>
      <c r="Q13" s="444"/>
      <c r="R13" s="444"/>
      <c r="S13" s="444"/>
      <c r="T13" s="444"/>
    </row>
    <row r="14" spans="1:20" s="12" customFormat="1" ht="18.75" customHeight="1" x14ac:dyDescent="0.2">
      <c r="A14" s="448" t="s">
        <v>5</v>
      </c>
      <c r="B14" s="448"/>
      <c r="C14" s="448"/>
      <c r="D14" s="448"/>
      <c r="E14" s="448"/>
      <c r="F14" s="448"/>
      <c r="G14" s="448"/>
      <c r="H14" s="448"/>
      <c r="I14" s="448"/>
      <c r="J14" s="448"/>
      <c r="K14" s="448"/>
      <c r="L14" s="448"/>
      <c r="M14" s="448"/>
      <c r="N14" s="448"/>
      <c r="O14" s="448"/>
      <c r="P14" s="448"/>
      <c r="Q14" s="448"/>
      <c r="R14" s="448"/>
      <c r="S14" s="448"/>
      <c r="T14" s="448"/>
    </row>
    <row r="15" spans="1:20" s="9" customFormat="1" ht="15.75" customHeight="1" x14ac:dyDescent="0.2">
      <c r="A15" s="449"/>
      <c r="B15" s="449"/>
      <c r="C15" s="449"/>
      <c r="D15" s="449"/>
      <c r="E15" s="449"/>
      <c r="F15" s="449"/>
      <c r="G15" s="449"/>
      <c r="H15" s="449"/>
      <c r="I15" s="449"/>
      <c r="J15" s="449"/>
      <c r="K15" s="449"/>
      <c r="L15" s="449"/>
      <c r="M15" s="449"/>
      <c r="N15" s="449"/>
      <c r="O15" s="449"/>
      <c r="P15" s="449"/>
      <c r="Q15" s="449"/>
      <c r="R15" s="449"/>
      <c r="S15" s="449"/>
      <c r="T15" s="449"/>
    </row>
    <row r="16" spans="1:20" s="3" customFormat="1" ht="12" x14ac:dyDescent="0.2">
      <c r="A16" s="444" t="str">
        <f>'1. паспорт местоположение'!A15</f>
        <v>Организация интеллектуальной системы учета электроэнергии (приобретение компонентов интеллектуальной системы учета, выполнение проектных, строительно-монтажных и пусконаладочных работ по модернизации / созданию интеллектуальной системы учета электроэнергии)</v>
      </c>
      <c r="B16" s="444"/>
      <c r="C16" s="444"/>
      <c r="D16" s="444"/>
      <c r="E16" s="444"/>
      <c r="F16" s="444"/>
      <c r="G16" s="444"/>
      <c r="H16" s="444"/>
      <c r="I16" s="444"/>
      <c r="J16" s="444"/>
      <c r="K16" s="444"/>
      <c r="L16" s="444"/>
      <c r="M16" s="444"/>
      <c r="N16" s="444"/>
      <c r="O16" s="444"/>
      <c r="P16" s="444"/>
      <c r="Q16" s="444"/>
      <c r="R16" s="444"/>
      <c r="S16" s="444"/>
      <c r="T16" s="444"/>
    </row>
    <row r="17" spans="1:113" s="3" customFormat="1" ht="15" customHeight="1" x14ac:dyDescent="0.2">
      <c r="A17" s="448" t="s">
        <v>4</v>
      </c>
      <c r="B17" s="448"/>
      <c r="C17" s="448"/>
      <c r="D17" s="448"/>
      <c r="E17" s="448"/>
      <c r="F17" s="448"/>
      <c r="G17" s="448"/>
      <c r="H17" s="448"/>
      <c r="I17" s="448"/>
      <c r="J17" s="448"/>
      <c r="K17" s="448"/>
      <c r="L17" s="448"/>
      <c r="M17" s="448"/>
      <c r="N17" s="448"/>
      <c r="O17" s="448"/>
      <c r="P17" s="448"/>
      <c r="Q17" s="448"/>
      <c r="R17" s="448"/>
      <c r="S17" s="448"/>
      <c r="T17" s="448"/>
    </row>
    <row r="18" spans="1:113" s="3" customFormat="1" ht="15" customHeight="1" x14ac:dyDescent="0.2">
      <c r="A18" s="450"/>
      <c r="B18" s="450"/>
      <c r="C18" s="450"/>
      <c r="D18" s="450"/>
      <c r="E18" s="450"/>
      <c r="F18" s="450"/>
      <c r="G18" s="450"/>
      <c r="H18" s="450"/>
      <c r="I18" s="450"/>
      <c r="J18" s="450"/>
      <c r="K18" s="450"/>
      <c r="L18" s="450"/>
      <c r="M18" s="450"/>
      <c r="N18" s="450"/>
      <c r="O18" s="450"/>
      <c r="P18" s="450"/>
      <c r="Q18" s="450"/>
      <c r="R18" s="450"/>
      <c r="S18" s="450"/>
      <c r="T18" s="450"/>
    </row>
    <row r="19" spans="1:113" s="3" customFormat="1" ht="15" customHeight="1" x14ac:dyDescent="0.2">
      <c r="A19" s="467" t="s">
        <v>483</v>
      </c>
      <c r="B19" s="467"/>
      <c r="C19" s="467"/>
      <c r="D19" s="467"/>
      <c r="E19" s="467"/>
      <c r="F19" s="467"/>
      <c r="G19" s="467"/>
      <c r="H19" s="467"/>
      <c r="I19" s="467"/>
      <c r="J19" s="467"/>
      <c r="K19" s="467"/>
      <c r="L19" s="467"/>
      <c r="M19" s="467"/>
      <c r="N19" s="467"/>
      <c r="O19" s="467"/>
      <c r="P19" s="467"/>
      <c r="Q19" s="467"/>
      <c r="R19" s="467"/>
      <c r="S19" s="467"/>
      <c r="T19" s="467"/>
    </row>
    <row r="20" spans="1:113" s="49" customFormat="1" ht="21" customHeight="1" x14ac:dyDescent="0.25">
      <c r="A20" s="468"/>
      <c r="B20" s="468"/>
      <c r="C20" s="468"/>
      <c r="D20" s="468"/>
      <c r="E20" s="468"/>
      <c r="F20" s="468"/>
      <c r="G20" s="468"/>
      <c r="H20" s="468"/>
      <c r="I20" s="468"/>
      <c r="J20" s="468"/>
      <c r="K20" s="468"/>
      <c r="L20" s="468"/>
      <c r="M20" s="468"/>
      <c r="N20" s="468"/>
      <c r="O20" s="468"/>
      <c r="P20" s="468"/>
      <c r="Q20" s="468"/>
      <c r="R20" s="468"/>
      <c r="S20" s="468"/>
      <c r="T20" s="468"/>
    </row>
    <row r="21" spans="1:113" ht="46.5" customHeight="1" x14ac:dyDescent="0.25">
      <c r="A21" s="461" t="s">
        <v>3</v>
      </c>
      <c r="B21" s="454" t="s">
        <v>217</v>
      </c>
      <c r="C21" s="455"/>
      <c r="D21" s="458" t="s">
        <v>118</v>
      </c>
      <c r="E21" s="454" t="s">
        <v>511</v>
      </c>
      <c r="F21" s="455"/>
      <c r="G21" s="454" t="s">
        <v>267</v>
      </c>
      <c r="H21" s="455"/>
      <c r="I21" s="454" t="s">
        <v>117</v>
      </c>
      <c r="J21" s="455"/>
      <c r="K21" s="458" t="s">
        <v>116</v>
      </c>
      <c r="L21" s="454" t="s">
        <v>115</v>
      </c>
      <c r="M21" s="455"/>
      <c r="N21" s="454" t="s">
        <v>508</v>
      </c>
      <c r="O21" s="455"/>
      <c r="P21" s="458" t="s">
        <v>114</v>
      </c>
      <c r="Q21" s="464" t="s">
        <v>113</v>
      </c>
      <c r="R21" s="465"/>
      <c r="S21" s="464" t="s">
        <v>112</v>
      </c>
      <c r="T21" s="466"/>
    </row>
    <row r="22" spans="1:113" ht="204.75" customHeight="1" x14ac:dyDescent="0.25">
      <c r="A22" s="462"/>
      <c r="B22" s="456"/>
      <c r="C22" s="457"/>
      <c r="D22" s="460"/>
      <c r="E22" s="456"/>
      <c r="F22" s="457"/>
      <c r="G22" s="456"/>
      <c r="H22" s="457"/>
      <c r="I22" s="456"/>
      <c r="J22" s="457"/>
      <c r="K22" s="459"/>
      <c r="L22" s="456"/>
      <c r="M22" s="457"/>
      <c r="N22" s="456"/>
      <c r="O22" s="457"/>
      <c r="P22" s="459"/>
      <c r="Q22" s="92" t="s">
        <v>111</v>
      </c>
      <c r="R22" s="92" t="s">
        <v>482</v>
      </c>
      <c r="S22" s="92" t="s">
        <v>110</v>
      </c>
      <c r="T22" s="92" t="s">
        <v>109</v>
      </c>
    </row>
    <row r="23" spans="1:113" ht="51.75" customHeight="1" x14ac:dyDescent="0.25">
      <c r="A23" s="463"/>
      <c r="B23" s="149" t="s">
        <v>107</v>
      </c>
      <c r="C23" s="149" t="s">
        <v>108</v>
      </c>
      <c r="D23" s="459"/>
      <c r="E23" s="149" t="s">
        <v>107</v>
      </c>
      <c r="F23" s="149" t="s">
        <v>108</v>
      </c>
      <c r="G23" s="149" t="s">
        <v>107</v>
      </c>
      <c r="H23" s="149" t="s">
        <v>108</v>
      </c>
      <c r="I23" s="149" t="s">
        <v>107</v>
      </c>
      <c r="J23" s="149" t="s">
        <v>108</v>
      </c>
      <c r="K23" s="149" t="s">
        <v>107</v>
      </c>
      <c r="L23" s="149" t="s">
        <v>107</v>
      </c>
      <c r="M23" s="149" t="s">
        <v>108</v>
      </c>
      <c r="N23" s="149" t="s">
        <v>107</v>
      </c>
      <c r="O23" s="149" t="s">
        <v>108</v>
      </c>
      <c r="P23" s="150" t="s">
        <v>107</v>
      </c>
      <c r="Q23" s="92" t="s">
        <v>107</v>
      </c>
      <c r="R23" s="92" t="s">
        <v>107</v>
      </c>
      <c r="S23" s="92" t="s">
        <v>107</v>
      </c>
      <c r="T23" s="92" t="s">
        <v>107</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49" customFormat="1" ht="24" customHeight="1" x14ac:dyDescent="0.25">
      <c r="A25" s="53"/>
      <c r="B25" s="51"/>
      <c r="C25" s="51"/>
      <c r="D25" s="51"/>
      <c r="E25" s="51"/>
      <c r="F25" s="51"/>
      <c r="G25" s="51"/>
      <c r="H25" s="51"/>
      <c r="I25" s="51"/>
      <c r="J25" s="50"/>
      <c r="K25" s="50"/>
      <c r="L25" s="50"/>
      <c r="M25" s="52"/>
      <c r="N25" s="52"/>
      <c r="O25" s="52"/>
      <c r="P25" s="50"/>
      <c r="Q25" s="152"/>
      <c r="R25" s="51"/>
      <c r="S25" s="152"/>
      <c r="T25" s="51"/>
    </row>
    <row r="26" spans="1:113" ht="3" customHeight="1" x14ac:dyDescent="0.25"/>
    <row r="27" spans="1:113" s="47" customFormat="1" ht="12.75" x14ac:dyDescent="0.2">
      <c r="B27" s="48"/>
      <c r="C27" s="48"/>
      <c r="K27" s="48"/>
    </row>
    <row r="28" spans="1:113" s="47" customFormat="1" x14ac:dyDescent="0.25">
      <c r="B28" s="45" t="s">
        <v>106</v>
      </c>
      <c r="C28" s="45"/>
      <c r="D28" s="45"/>
      <c r="E28" s="45"/>
      <c r="F28" s="45"/>
      <c r="G28" s="45"/>
      <c r="H28" s="45"/>
      <c r="I28" s="45"/>
      <c r="J28" s="45"/>
      <c r="K28" s="45"/>
      <c r="L28" s="45"/>
      <c r="M28" s="45"/>
      <c r="N28" s="45"/>
      <c r="O28" s="45"/>
      <c r="P28" s="45"/>
      <c r="Q28" s="45"/>
      <c r="R28" s="45"/>
    </row>
    <row r="29" spans="1:113" x14ac:dyDescent="0.25">
      <c r="B29" s="453" t="s">
        <v>517</v>
      </c>
      <c r="C29" s="453"/>
      <c r="D29" s="453"/>
      <c r="E29" s="453"/>
      <c r="F29" s="453"/>
      <c r="G29" s="453"/>
      <c r="H29" s="453"/>
      <c r="I29" s="453"/>
      <c r="J29" s="453"/>
      <c r="K29" s="453"/>
      <c r="L29" s="453"/>
      <c r="M29" s="453"/>
      <c r="N29" s="453"/>
      <c r="O29" s="453"/>
      <c r="P29" s="453"/>
      <c r="Q29" s="453"/>
      <c r="R29" s="453"/>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481</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105</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104</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103</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102</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101</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100</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99</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98</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97</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38" sqref="S38"/>
    </sheetView>
  </sheetViews>
  <sheetFormatPr defaultColWidth="10.7109375" defaultRowHeight="15.75" x14ac:dyDescent="0.25"/>
  <cols>
    <col min="1" max="3" width="10.7109375" style="41"/>
    <col min="4" max="4" width="11.5703125" style="41" customWidth="1"/>
    <col min="5" max="5" width="11.855468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8.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5"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35" t="str">
        <f>'1. паспорт местоположение'!A5:C5</f>
        <v>Год раскрытия информации: 2022 год</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row>
    <row r="6" spans="1:27" s="12" customFormat="1" x14ac:dyDescent="0.2">
      <c r="A6" s="153"/>
      <c r="B6" s="153"/>
      <c r="C6" s="153"/>
      <c r="D6" s="153"/>
      <c r="E6" s="153"/>
      <c r="F6" s="153"/>
      <c r="G6" s="153"/>
      <c r="H6" s="153"/>
      <c r="I6" s="153"/>
      <c r="J6" s="153"/>
      <c r="K6" s="153"/>
      <c r="L6" s="153"/>
      <c r="M6" s="153"/>
      <c r="N6" s="153"/>
      <c r="O6" s="153"/>
      <c r="P6" s="153"/>
      <c r="Q6" s="153"/>
      <c r="R6" s="153"/>
      <c r="S6" s="153"/>
      <c r="T6" s="153"/>
    </row>
    <row r="7" spans="1:27" s="12" customFormat="1" ht="18.75" x14ac:dyDescent="0.2">
      <c r="E7" s="443" t="s">
        <v>7</v>
      </c>
      <c r="F7" s="443"/>
      <c r="G7" s="443"/>
      <c r="H7" s="443"/>
      <c r="I7" s="443"/>
      <c r="J7" s="443"/>
      <c r="K7" s="443"/>
      <c r="L7" s="443"/>
      <c r="M7" s="443"/>
      <c r="N7" s="443"/>
      <c r="O7" s="443"/>
      <c r="P7" s="443"/>
      <c r="Q7" s="443"/>
      <c r="R7" s="443"/>
      <c r="S7" s="443"/>
      <c r="T7" s="443"/>
      <c r="U7" s="443"/>
      <c r="V7" s="443"/>
      <c r="W7" s="443"/>
      <c r="X7" s="443"/>
      <c r="Y7" s="44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44" t="str">
        <f>'1. паспорт местоположение'!A9</f>
        <v>Акционерное общество "Янтарьэнерго" ДЗО  ПАО "Россети"</v>
      </c>
      <c r="F9" s="444"/>
      <c r="G9" s="444"/>
      <c r="H9" s="444"/>
      <c r="I9" s="444"/>
      <c r="J9" s="444"/>
      <c r="K9" s="444"/>
      <c r="L9" s="444"/>
      <c r="M9" s="444"/>
      <c r="N9" s="444"/>
      <c r="O9" s="444"/>
      <c r="P9" s="444"/>
      <c r="Q9" s="444"/>
      <c r="R9" s="444"/>
      <c r="S9" s="444"/>
      <c r="T9" s="444"/>
      <c r="U9" s="444"/>
      <c r="V9" s="444"/>
      <c r="W9" s="444"/>
      <c r="X9" s="444"/>
      <c r="Y9" s="444"/>
    </row>
    <row r="10" spans="1:27" s="12" customFormat="1" ht="18.75" customHeight="1" x14ac:dyDescent="0.2">
      <c r="E10" s="448" t="s">
        <v>6</v>
      </c>
      <c r="F10" s="448"/>
      <c r="G10" s="448"/>
      <c r="H10" s="448"/>
      <c r="I10" s="448"/>
      <c r="J10" s="448"/>
      <c r="K10" s="448"/>
      <c r="L10" s="448"/>
      <c r="M10" s="448"/>
      <c r="N10" s="448"/>
      <c r="O10" s="448"/>
      <c r="P10" s="448"/>
      <c r="Q10" s="448"/>
      <c r="R10" s="448"/>
      <c r="S10" s="448"/>
      <c r="T10" s="448"/>
      <c r="U10" s="448"/>
      <c r="V10" s="448"/>
      <c r="W10" s="448"/>
      <c r="X10" s="448"/>
      <c r="Y10" s="44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44" t="str">
        <f>'1. паспорт местоположение'!A12</f>
        <v>F_48-НН</v>
      </c>
      <c r="F12" s="444"/>
      <c r="G12" s="444"/>
      <c r="H12" s="444"/>
      <c r="I12" s="444"/>
      <c r="J12" s="444"/>
      <c r="K12" s="444"/>
      <c r="L12" s="444"/>
      <c r="M12" s="444"/>
      <c r="N12" s="444"/>
      <c r="O12" s="444"/>
      <c r="P12" s="444"/>
      <c r="Q12" s="444"/>
      <c r="R12" s="444"/>
      <c r="S12" s="444"/>
      <c r="T12" s="444"/>
      <c r="U12" s="444"/>
      <c r="V12" s="444"/>
      <c r="W12" s="444"/>
      <c r="X12" s="444"/>
      <c r="Y12" s="444"/>
    </row>
    <row r="13" spans="1:27" s="12" customFormat="1" ht="18.75" customHeight="1" x14ac:dyDescent="0.2">
      <c r="E13" s="448" t="s">
        <v>5</v>
      </c>
      <c r="F13" s="448"/>
      <c r="G13" s="448"/>
      <c r="H13" s="448"/>
      <c r="I13" s="448"/>
      <c r="J13" s="448"/>
      <c r="K13" s="448"/>
      <c r="L13" s="448"/>
      <c r="M13" s="448"/>
      <c r="N13" s="448"/>
      <c r="O13" s="448"/>
      <c r="P13" s="448"/>
      <c r="Q13" s="448"/>
      <c r="R13" s="448"/>
      <c r="S13" s="448"/>
      <c r="T13" s="448"/>
      <c r="U13" s="448"/>
      <c r="V13" s="448"/>
      <c r="W13" s="448"/>
      <c r="X13" s="448"/>
      <c r="Y13" s="44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44" t="str">
        <f>'1. паспорт местоположение'!A15</f>
        <v>Организация интеллектуальной системы учета электроэнергии (приобретение компонентов интеллектуальной системы учета, выполнение проектных, строительно-монтажных и пусконаладочных работ по модернизации / созданию интеллектуальной системы учета электроэнергии)</v>
      </c>
      <c r="F15" s="444"/>
      <c r="G15" s="444"/>
      <c r="H15" s="444"/>
      <c r="I15" s="444"/>
      <c r="J15" s="444"/>
      <c r="K15" s="444"/>
      <c r="L15" s="444"/>
      <c r="M15" s="444"/>
      <c r="N15" s="444"/>
      <c r="O15" s="444"/>
      <c r="P15" s="444"/>
      <c r="Q15" s="444"/>
      <c r="R15" s="444"/>
      <c r="S15" s="444"/>
      <c r="T15" s="444"/>
      <c r="U15" s="444"/>
      <c r="V15" s="444"/>
      <c r="W15" s="444"/>
      <c r="X15" s="444"/>
      <c r="Y15" s="444"/>
    </row>
    <row r="16" spans="1:27" s="3" customFormat="1" ht="15" customHeight="1" x14ac:dyDescent="0.2">
      <c r="E16" s="448" t="s">
        <v>4</v>
      </c>
      <c r="F16" s="448"/>
      <c r="G16" s="448"/>
      <c r="H16" s="448"/>
      <c r="I16" s="448"/>
      <c r="J16" s="448"/>
      <c r="K16" s="448"/>
      <c r="L16" s="448"/>
      <c r="M16" s="448"/>
      <c r="N16" s="448"/>
      <c r="O16" s="448"/>
      <c r="P16" s="448"/>
      <c r="Q16" s="448"/>
      <c r="R16" s="448"/>
      <c r="S16" s="448"/>
      <c r="T16" s="448"/>
      <c r="U16" s="448"/>
      <c r="V16" s="448"/>
      <c r="W16" s="448"/>
      <c r="X16" s="448"/>
      <c r="Y16" s="44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67"/>
      <c r="F18" s="467"/>
      <c r="G18" s="467"/>
      <c r="H18" s="467"/>
      <c r="I18" s="467"/>
      <c r="J18" s="467"/>
      <c r="K18" s="467"/>
      <c r="L18" s="467"/>
      <c r="M18" s="467"/>
      <c r="N18" s="467"/>
      <c r="O18" s="467"/>
      <c r="P18" s="467"/>
      <c r="Q18" s="467"/>
      <c r="R18" s="467"/>
      <c r="S18" s="467"/>
      <c r="T18" s="467"/>
      <c r="U18" s="467"/>
      <c r="V18" s="467"/>
      <c r="W18" s="467"/>
      <c r="X18" s="467"/>
      <c r="Y18" s="467"/>
    </row>
    <row r="19" spans="1:27" ht="25.5" customHeight="1" x14ac:dyDescent="0.25">
      <c r="A19" s="467" t="s">
        <v>485</v>
      </c>
      <c r="B19" s="467"/>
      <c r="C19" s="467"/>
      <c r="D19" s="467"/>
      <c r="E19" s="467"/>
      <c r="F19" s="467"/>
      <c r="G19" s="467"/>
      <c r="H19" s="467"/>
      <c r="I19" s="467"/>
      <c r="J19" s="467"/>
      <c r="K19" s="467"/>
      <c r="L19" s="467"/>
      <c r="M19" s="467"/>
      <c r="N19" s="467"/>
      <c r="O19" s="467"/>
      <c r="P19" s="467"/>
      <c r="Q19" s="467"/>
      <c r="R19" s="467"/>
      <c r="S19" s="467"/>
      <c r="T19" s="467"/>
      <c r="U19" s="467"/>
      <c r="V19" s="467"/>
      <c r="W19" s="467"/>
      <c r="X19" s="467"/>
      <c r="Y19" s="467"/>
      <c r="Z19" s="467"/>
      <c r="AA19" s="467"/>
    </row>
    <row r="20" spans="1:27" s="49" customFormat="1" ht="21" customHeight="1" x14ac:dyDescent="0.25"/>
    <row r="21" spans="1:27" ht="15.75" customHeight="1" x14ac:dyDescent="0.25">
      <c r="A21" s="469" t="s">
        <v>3</v>
      </c>
      <c r="B21" s="472" t="s">
        <v>492</v>
      </c>
      <c r="C21" s="473"/>
      <c r="D21" s="472" t="s">
        <v>494</v>
      </c>
      <c r="E21" s="473"/>
      <c r="F21" s="464" t="s">
        <v>90</v>
      </c>
      <c r="G21" s="466"/>
      <c r="H21" s="466"/>
      <c r="I21" s="465"/>
      <c r="J21" s="469" t="s">
        <v>495</v>
      </c>
      <c r="K21" s="472" t="s">
        <v>496</v>
      </c>
      <c r="L21" s="473"/>
      <c r="M21" s="472" t="s">
        <v>497</v>
      </c>
      <c r="N21" s="473"/>
      <c r="O21" s="472" t="s">
        <v>484</v>
      </c>
      <c r="P21" s="473"/>
      <c r="Q21" s="472" t="s">
        <v>123</v>
      </c>
      <c r="R21" s="473"/>
      <c r="S21" s="469" t="s">
        <v>122</v>
      </c>
      <c r="T21" s="469" t="s">
        <v>498</v>
      </c>
      <c r="U21" s="469" t="s">
        <v>493</v>
      </c>
      <c r="V21" s="472" t="s">
        <v>121</v>
      </c>
      <c r="W21" s="473"/>
      <c r="X21" s="464" t="s">
        <v>113</v>
      </c>
      <c r="Y21" s="466"/>
      <c r="Z21" s="464" t="s">
        <v>112</v>
      </c>
      <c r="AA21" s="466"/>
    </row>
    <row r="22" spans="1:27" ht="216" customHeight="1" x14ac:dyDescent="0.25">
      <c r="A22" s="470"/>
      <c r="B22" s="474"/>
      <c r="C22" s="475"/>
      <c r="D22" s="474"/>
      <c r="E22" s="475"/>
      <c r="F22" s="464" t="s">
        <v>120</v>
      </c>
      <c r="G22" s="465"/>
      <c r="H22" s="464" t="s">
        <v>119</v>
      </c>
      <c r="I22" s="465"/>
      <c r="J22" s="471"/>
      <c r="K22" s="474"/>
      <c r="L22" s="475"/>
      <c r="M22" s="474"/>
      <c r="N22" s="475"/>
      <c r="O22" s="474"/>
      <c r="P22" s="475"/>
      <c r="Q22" s="474"/>
      <c r="R22" s="475"/>
      <c r="S22" s="471"/>
      <c r="T22" s="471"/>
      <c r="U22" s="471"/>
      <c r="V22" s="474"/>
      <c r="W22" s="475"/>
      <c r="X22" s="92" t="s">
        <v>111</v>
      </c>
      <c r="Y22" s="92" t="s">
        <v>482</v>
      </c>
      <c r="Z22" s="92" t="s">
        <v>110</v>
      </c>
      <c r="AA22" s="92" t="s">
        <v>109</v>
      </c>
    </row>
    <row r="23" spans="1:27" ht="60" customHeight="1" x14ac:dyDescent="0.25">
      <c r="A23" s="471"/>
      <c r="B23" s="147" t="s">
        <v>107</v>
      </c>
      <c r="C23" s="147" t="s">
        <v>108</v>
      </c>
      <c r="D23" s="93" t="s">
        <v>107</v>
      </c>
      <c r="E23" s="93" t="s">
        <v>108</v>
      </c>
      <c r="F23" s="93" t="s">
        <v>107</v>
      </c>
      <c r="G23" s="93" t="s">
        <v>108</v>
      </c>
      <c r="H23" s="93" t="s">
        <v>107</v>
      </c>
      <c r="I23" s="93" t="s">
        <v>108</v>
      </c>
      <c r="J23" s="93" t="s">
        <v>107</v>
      </c>
      <c r="K23" s="93" t="s">
        <v>107</v>
      </c>
      <c r="L23" s="93" t="s">
        <v>108</v>
      </c>
      <c r="M23" s="93" t="s">
        <v>107</v>
      </c>
      <c r="N23" s="93" t="s">
        <v>108</v>
      </c>
      <c r="O23" s="93" t="s">
        <v>107</v>
      </c>
      <c r="P23" s="93" t="s">
        <v>108</v>
      </c>
      <c r="Q23" s="93" t="s">
        <v>107</v>
      </c>
      <c r="R23" s="93" t="s">
        <v>108</v>
      </c>
      <c r="S23" s="93" t="s">
        <v>107</v>
      </c>
      <c r="T23" s="93" t="s">
        <v>107</v>
      </c>
      <c r="U23" s="93" t="s">
        <v>107</v>
      </c>
      <c r="V23" s="93" t="s">
        <v>107</v>
      </c>
      <c r="W23" s="93" t="s">
        <v>108</v>
      </c>
      <c r="X23" s="93" t="s">
        <v>107</v>
      </c>
      <c r="Y23" s="93" t="s">
        <v>107</v>
      </c>
      <c r="Z23" s="92" t="s">
        <v>107</v>
      </c>
      <c r="AA23" s="92" t="s">
        <v>107</v>
      </c>
    </row>
    <row r="24" spans="1:27" x14ac:dyDescent="0.25">
      <c r="A24" s="97">
        <v>1</v>
      </c>
      <c r="B24" s="97">
        <v>2</v>
      </c>
      <c r="C24" s="97">
        <v>3</v>
      </c>
      <c r="D24" s="97">
        <v>4</v>
      </c>
      <c r="E24" s="97">
        <v>5</v>
      </c>
      <c r="F24" s="97">
        <v>6</v>
      </c>
      <c r="G24" s="97">
        <v>7</v>
      </c>
      <c r="H24" s="97">
        <v>8</v>
      </c>
      <c r="I24" s="97">
        <v>9</v>
      </c>
      <c r="J24" s="97">
        <v>10</v>
      </c>
      <c r="K24" s="97">
        <v>11</v>
      </c>
      <c r="L24" s="97">
        <v>12</v>
      </c>
      <c r="M24" s="97">
        <v>13</v>
      </c>
      <c r="N24" s="97">
        <v>14</v>
      </c>
      <c r="O24" s="97">
        <v>15</v>
      </c>
      <c r="P24" s="97">
        <v>16</v>
      </c>
      <c r="Q24" s="97">
        <v>19</v>
      </c>
      <c r="R24" s="97">
        <v>20</v>
      </c>
      <c r="S24" s="97">
        <v>21</v>
      </c>
      <c r="T24" s="97">
        <v>22</v>
      </c>
      <c r="U24" s="97">
        <v>23</v>
      </c>
      <c r="V24" s="97">
        <v>24</v>
      </c>
      <c r="W24" s="97">
        <v>25</v>
      </c>
      <c r="X24" s="97">
        <v>26</v>
      </c>
      <c r="Y24" s="97">
        <v>27</v>
      </c>
      <c r="Z24" s="97">
        <v>28</v>
      </c>
      <c r="AA24" s="97">
        <v>29</v>
      </c>
    </row>
    <row r="25" spans="1:27" s="49" customFormat="1" ht="24" customHeight="1" x14ac:dyDescent="0.25">
      <c r="A25" s="98"/>
      <c r="B25" s="98"/>
      <c r="C25" s="98"/>
      <c r="D25" s="98"/>
      <c r="E25" s="99"/>
      <c r="F25" s="99"/>
      <c r="G25" s="100"/>
      <c r="H25" s="100"/>
      <c r="I25" s="100"/>
      <c r="J25" s="101"/>
      <c r="K25" s="101"/>
      <c r="L25" s="102"/>
      <c r="M25" s="102"/>
      <c r="N25" s="103"/>
      <c r="O25" s="103"/>
      <c r="P25" s="103"/>
      <c r="Q25" s="103"/>
      <c r="R25" s="100"/>
      <c r="S25" s="101"/>
      <c r="T25" s="101"/>
      <c r="U25" s="101"/>
      <c r="V25" s="101"/>
      <c r="W25" s="103"/>
      <c r="X25" s="98"/>
      <c r="Y25" s="98"/>
      <c r="Z25" s="98"/>
      <c r="AA25" s="98"/>
    </row>
    <row r="26" spans="1:27" ht="3" customHeight="1" x14ac:dyDescent="0.25">
      <c r="X26" s="94"/>
      <c r="Y26" s="95"/>
      <c r="Z26" s="42"/>
      <c r="AA26" s="42"/>
    </row>
    <row r="27" spans="1:27" s="47" customFormat="1" ht="12.75" x14ac:dyDescent="0.2">
      <c r="A27" s="48"/>
      <c r="B27" s="48"/>
      <c r="C27" s="48"/>
      <c r="E27" s="48"/>
      <c r="X27" s="96"/>
      <c r="Y27" s="96"/>
      <c r="Z27" s="96"/>
      <c r="AA27" s="96"/>
    </row>
    <row r="28" spans="1:27" s="47" customFormat="1" ht="12.75" x14ac:dyDescent="0.2">
      <c r="A28" s="48"/>
      <c r="B28" s="48"/>
      <c r="C28" s="4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1"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1.42578125" style="1" customWidth="1"/>
    <col min="4" max="4" width="14.42578125" style="1" hidden="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35" t="str">
        <f>'1. паспорт местоположение'!A5:C5</f>
        <v>Год раскрытия информации: 2022 год</v>
      </c>
      <c r="B5" s="435"/>
      <c r="C5" s="435"/>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row>
    <row r="6" spans="1:29" s="12" customFormat="1" ht="18.75" x14ac:dyDescent="0.3">
      <c r="A6" s="17"/>
      <c r="E6" s="16"/>
      <c r="F6" s="16"/>
      <c r="G6" s="15"/>
    </row>
    <row r="7" spans="1:29" s="12" customFormat="1" ht="18.75" x14ac:dyDescent="0.2">
      <c r="A7" s="443" t="s">
        <v>7</v>
      </c>
      <c r="B7" s="443"/>
      <c r="C7" s="443"/>
      <c r="D7" s="13"/>
      <c r="E7" s="13"/>
      <c r="F7" s="13"/>
      <c r="G7" s="13"/>
      <c r="H7" s="13"/>
      <c r="I7" s="13"/>
      <c r="J7" s="13"/>
      <c r="K7" s="13"/>
      <c r="L7" s="13"/>
      <c r="M7" s="13"/>
      <c r="N7" s="13"/>
      <c r="O7" s="13"/>
      <c r="P7" s="13"/>
      <c r="Q7" s="13"/>
      <c r="R7" s="13"/>
      <c r="S7" s="13"/>
      <c r="T7" s="13"/>
      <c r="U7" s="13"/>
    </row>
    <row r="8" spans="1:29" s="12" customFormat="1" ht="18.75" x14ac:dyDescent="0.2">
      <c r="A8" s="443"/>
      <c r="B8" s="443"/>
      <c r="C8" s="443"/>
      <c r="D8" s="14"/>
      <c r="E8" s="14"/>
      <c r="F8" s="14"/>
      <c r="G8" s="14"/>
      <c r="H8" s="13"/>
      <c r="I8" s="13"/>
      <c r="J8" s="13"/>
      <c r="K8" s="13"/>
      <c r="L8" s="13"/>
      <c r="M8" s="13"/>
      <c r="N8" s="13"/>
      <c r="O8" s="13"/>
      <c r="P8" s="13"/>
      <c r="Q8" s="13"/>
      <c r="R8" s="13"/>
      <c r="S8" s="13"/>
      <c r="T8" s="13"/>
      <c r="U8" s="13"/>
    </row>
    <row r="9" spans="1:29" s="12" customFormat="1" ht="18.75" x14ac:dyDescent="0.2">
      <c r="A9" s="444" t="str">
        <f>'1. паспорт местоположение'!A9:C9</f>
        <v>Акционерное общество "Янтарьэнерго" ДЗО  ПАО "Россети"</v>
      </c>
      <c r="B9" s="444"/>
      <c r="C9" s="444"/>
      <c r="D9" s="8"/>
      <c r="E9" s="8"/>
      <c r="F9" s="8"/>
      <c r="G9" s="8"/>
      <c r="H9" s="13"/>
      <c r="I9" s="13"/>
      <c r="J9" s="13"/>
      <c r="K9" s="13"/>
      <c r="L9" s="13"/>
      <c r="M9" s="13"/>
      <c r="N9" s="13"/>
      <c r="O9" s="13"/>
      <c r="P9" s="13"/>
      <c r="Q9" s="13"/>
      <c r="R9" s="13"/>
      <c r="S9" s="13"/>
      <c r="T9" s="13"/>
      <c r="U9" s="13"/>
    </row>
    <row r="10" spans="1:29" s="12" customFormat="1" ht="18.75" x14ac:dyDescent="0.2">
      <c r="A10" s="448" t="s">
        <v>6</v>
      </c>
      <c r="B10" s="448"/>
      <c r="C10" s="448"/>
      <c r="D10" s="6"/>
      <c r="E10" s="6"/>
      <c r="F10" s="6"/>
      <c r="G10" s="6"/>
      <c r="H10" s="13"/>
      <c r="I10" s="13"/>
      <c r="J10" s="13"/>
      <c r="K10" s="13"/>
      <c r="L10" s="13"/>
      <c r="M10" s="13"/>
      <c r="N10" s="13"/>
      <c r="O10" s="13"/>
      <c r="P10" s="13"/>
      <c r="Q10" s="13"/>
      <c r="R10" s="13"/>
      <c r="S10" s="13"/>
      <c r="T10" s="13"/>
      <c r="U10" s="13"/>
    </row>
    <row r="11" spans="1:29" s="12" customFormat="1" ht="18.75" x14ac:dyDescent="0.2">
      <c r="A11" s="443"/>
      <c r="B11" s="443"/>
      <c r="C11" s="443"/>
      <c r="D11" s="14"/>
      <c r="E11" s="14"/>
      <c r="F11" s="14"/>
      <c r="G11" s="14"/>
      <c r="H11" s="13"/>
      <c r="I11" s="13"/>
      <c r="J11" s="13"/>
      <c r="K11" s="13"/>
      <c r="L11" s="13"/>
      <c r="M11" s="13"/>
      <c r="N11" s="13"/>
      <c r="O11" s="13"/>
      <c r="P11" s="13"/>
      <c r="Q11" s="13"/>
      <c r="R11" s="13"/>
      <c r="S11" s="13"/>
      <c r="T11" s="13"/>
      <c r="U11" s="13"/>
    </row>
    <row r="12" spans="1:29" s="12" customFormat="1" ht="18.75" x14ac:dyDescent="0.2">
      <c r="A12" s="444" t="str">
        <f>'1. паспорт местоположение'!A12:C12</f>
        <v>F_48-НН</v>
      </c>
      <c r="B12" s="444"/>
      <c r="C12" s="444"/>
      <c r="D12" s="8"/>
      <c r="E12" s="8"/>
      <c r="F12" s="8"/>
      <c r="G12" s="8"/>
      <c r="H12" s="13"/>
      <c r="I12" s="13"/>
      <c r="J12" s="13"/>
      <c r="K12" s="13"/>
      <c r="L12" s="13"/>
      <c r="M12" s="13"/>
      <c r="N12" s="13"/>
      <c r="O12" s="13"/>
      <c r="P12" s="13"/>
      <c r="Q12" s="13"/>
      <c r="R12" s="13"/>
      <c r="S12" s="13"/>
      <c r="T12" s="13"/>
      <c r="U12" s="13"/>
    </row>
    <row r="13" spans="1:29" s="12" customFormat="1" ht="18.75" x14ac:dyDescent="0.2">
      <c r="A13" s="448" t="s">
        <v>5</v>
      </c>
      <c r="B13" s="448"/>
      <c r="C13" s="44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49"/>
      <c r="B14" s="449"/>
      <c r="C14" s="449"/>
      <c r="D14" s="10"/>
      <c r="E14" s="10"/>
      <c r="F14" s="10"/>
      <c r="G14" s="10"/>
      <c r="H14" s="10"/>
      <c r="I14" s="10"/>
      <c r="J14" s="10"/>
      <c r="K14" s="10"/>
      <c r="L14" s="10"/>
      <c r="M14" s="10"/>
      <c r="N14" s="10"/>
      <c r="O14" s="10"/>
      <c r="P14" s="10"/>
      <c r="Q14" s="10"/>
      <c r="R14" s="10"/>
      <c r="S14" s="10"/>
      <c r="T14" s="10"/>
      <c r="U14" s="10"/>
    </row>
    <row r="15" spans="1:29" s="3" customFormat="1" ht="37.5" customHeight="1" x14ac:dyDescent="0.2">
      <c r="A15" s="476" t="str">
        <f>'1. паспорт местоположение'!A15</f>
        <v>Организация интеллектуальной системы учета электроэнергии (приобретение компонентов интеллектуальной системы учета, выполнение проектных, строительно-монтажных и пусконаладочных работ по модернизации / созданию интеллектуальной системы учета электроэнергии)</v>
      </c>
      <c r="B15" s="476"/>
      <c r="C15" s="476"/>
      <c r="D15" s="8"/>
      <c r="E15" s="8"/>
      <c r="F15" s="8"/>
      <c r="G15" s="8"/>
      <c r="H15" s="8"/>
      <c r="I15" s="8"/>
      <c r="J15" s="8"/>
      <c r="K15" s="8"/>
      <c r="L15" s="8"/>
      <c r="M15" s="8"/>
      <c r="N15" s="8"/>
      <c r="O15" s="8"/>
      <c r="P15" s="8"/>
      <c r="Q15" s="8"/>
      <c r="R15" s="8"/>
      <c r="S15" s="8"/>
      <c r="T15" s="8"/>
      <c r="U15" s="8"/>
    </row>
    <row r="16" spans="1:29" s="3" customFormat="1" ht="15" customHeight="1" x14ac:dyDescent="0.2">
      <c r="A16" s="448" t="s">
        <v>4</v>
      </c>
      <c r="B16" s="448"/>
      <c r="C16" s="448"/>
      <c r="D16" s="6"/>
      <c r="E16" s="6"/>
      <c r="F16" s="6"/>
      <c r="G16" s="6"/>
      <c r="H16" s="6"/>
      <c r="I16" s="6"/>
      <c r="J16" s="6"/>
      <c r="K16" s="6"/>
      <c r="L16" s="6"/>
      <c r="M16" s="6"/>
      <c r="N16" s="6"/>
      <c r="O16" s="6"/>
      <c r="P16" s="6"/>
      <c r="Q16" s="6"/>
      <c r="R16" s="6"/>
      <c r="S16" s="6"/>
      <c r="T16" s="6"/>
      <c r="U16" s="6"/>
    </row>
    <row r="17" spans="1:21" s="3" customFormat="1" ht="15" customHeight="1" x14ac:dyDescent="0.2">
      <c r="A17" s="450"/>
      <c r="B17" s="450"/>
      <c r="C17" s="450"/>
      <c r="D17" s="4"/>
      <c r="E17" s="4"/>
      <c r="F17" s="4"/>
      <c r="G17" s="4"/>
      <c r="H17" s="4"/>
      <c r="I17" s="4"/>
      <c r="J17" s="4"/>
      <c r="K17" s="4"/>
      <c r="L17" s="4"/>
      <c r="M17" s="4"/>
      <c r="N17" s="4"/>
      <c r="O17" s="4"/>
      <c r="P17" s="4"/>
      <c r="Q17" s="4"/>
      <c r="R17" s="4"/>
    </row>
    <row r="18" spans="1:21" s="3" customFormat="1" ht="27.75" customHeight="1" x14ac:dyDescent="0.2">
      <c r="A18" s="451" t="s">
        <v>477</v>
      </c>
      <c r="B18" s="451"/>
      <c r="C18" s="45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3</v>
      </c>
      <c r="B20" s="34" t="s">
        <v>64</v>
      </c>
      <c r="C20" s="33"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47.25" x14ac:dyDescent="0.2">
      <c r="A22" s="24" t="s">
        <v>62</v>
      </c>
      <c r="B22" s="30" t="s">
        <v>490</v>
      </c>
      <c r="C22" s="273" t="s">
        <v>589</v>
      </c>
      <c r="D22" s="29"/>
      <c r="E22" s="29"/>
      <c r="F22" s="28"/>
      <c r="G22" s="28"/>
      <c r="H22" s="28"/>
      <c r="I22" s="28"/>
      <c r="J22" s="28"/>
      <c r="K22" s="28"/>
      <c r="L22" s="28"/>
      <c r="M22" s="28"/>
      <c r="N22" s="28"/>
      <c r="O22" s="28"/>
      <c r="P22" s="28"/>
      <c r="Q22" s="27"/>
      <c r="R22" s="27"/>
      <c r="S22" s="27"/>
      <c r="T22" s="27"/>
      <c r="U22" s="27"/>
    </row>
    <row r="23" spans="1:21" ht="63" x14ac:dyDescent="0.25">
      <c r="A23" s="24" t="s">
        <v>61</v>
      </c>
      <c r="B23" s="26" t="s">
        <v>58</v>
      </c>
      <c r="C23" s="382" t="s">
        <v>753</v>
      </c>
      <c r="D23" s="23"/>
      <c r="E23" s="23"/>
      <c r="F23" s="23"/>
      <c r="G23" s="23"/>
      <c r="H23" s="23"/>
      <c r="I23" s="23"/>
      <c r="J23" s="23"/>
      <c r="K23" s="23"/>
      <c r="L23" s="23"/>
      <c r="M23" s="23"/>
      <c r="N23" s="23"/>
      <c r="O23" s="23"/>
      <c r="P23" s="23"/>
      <c r="Q23" s="23"/>
      <c r="R23" s="23"/>
      <c r="S23" s="23"/>
      <c r="T23" s="23"/>
      <c r="U23" s="23"/>
    </row>
    <row r="24" spans="1:21" ht="141.75" x14ac:dyDescent="0.25">
      <c r="A24" s="24" t="s">
        <v>60</v>
      </c>
      <c r="B24" s="26" t="s">
        <v>510</v>
      </c>
      <c r="C24" s="382" t="s">
        <v>763</v>
      </c>
      <c r="D24" s="23" t="s">
        <v>547</v>
      </c>
      <c r="E24" s="23"/>
      <c r="F24" s="23"/>
      <c r="G24" s="23"/>
      <c r="H24" s="23"/>
      <c r="I24" s="23"/>
      <c r="J24" s="23"/>
      <c r="K24" s="23"/>
      <c r="L24" s="23"/>
      <c r="M24" s="23"/>
      <c r="N24" s="23"/>
      <c r="O24" s="23"/>
      <c r="P24" s="23"/>
      <c r="Q24" s="23"/>
      <c r="R24" s="23"/>
      <c r="S24" s="23"/>
      <c r="T24" s="23"/>
      <c r="U24" s="23"/>
    </row>
    <row r="25" spans="1:21" ht="63" customHeight="1" x14ac:dyDescent="0.25">
      <c r="A25" s="24" t="s">
        <v>59</v>
      </c>
      <c r="B25" s="26" t="s">
        <v>524</v>
      </c>
      <c r="C25" s="274" t="s">
        <v>695</v>
      </c>
      <c r="D25" s="23"/>
      <c r="E25" s="23"/>
      <c r="F25" s="23"/>
      <c r="G25" s="23"/>
      <c r="H25" s="23"/>
      <c r="I25" s="23"/>
      <c r="J25" s="23"/>
      <c r="K25" s="23"/>
      <c r="L25" s="23"/>
      <c r="M25" s="23"/>
      <c r="N25" s="23"/>
      <c r="O25" s="23"/>
      <c r="P25" s="23"/>
      <c r="Q25" s="23"/>
      <c r="R25" s="23"/>
      <c r="S25" s="23"/>
      <c r="T25" s="23"/>
      <c r="U25" s="23"/>
    </row>
    <row r="26" spans="1:21" ht="42.75" customHeight="1" x14ac:dyDescent="0.25">
      <c r="A26" s="24" t="s">
        <v>57</v>
      </c>
      <c r="B26" s="26" t="s">
        <v>225</v>
      </c>
      <c r="C26" s="272" t="s">
        <v>548</v>
      </c>
      <c r="D26" s="23"/>
      <c r="E26" s="23"/>
      <c r="F26" s="23"/>
      <c r="G26" s="23"/>
      <c r="H26" s="23"/>
      <c r="I26" s="23"/>
      <c r="J26" s="23"/>
      <c r="K26" s="23"/>
      <c r="L26" s="23"/>
      <c r="M26" s="23"/>
      <c r="N26" s="23"/>
      <c r="O26" s="23"/>
      <c r="P26" s="23"/>
      <c r="Q26" s="23"/>
      <c r="R26" s="23"/>
      <c r="S26" s="23"/>
      <c r="T26" s="23"/>
      <c r="U26" s="23"/>
    </row>
    <row r="27" spans="1:21" ht="378" x14ac:dyDescent="0.25">
      <c r="A27" s="24" t="s">
        <v>56</v>
      </c>
      <c r="B27" s="26" t="s">
        <v>491</v>
      </c>
      <c r="C27" s="308" t="s">
        <v>697</v>
      </c>
      <c r="D27" s="23"/>
      <c r="E27" s="23"/>
      <c r="F27" s="23"/>
      <c r="G27" s="23"/>
      <c r="H27" s="23"/>
      <c r="I27" s="23"/>
      <c r="J27" s="23"/>
      <c r="K27" s="23"/>
      <c r="L27" s="23"/>
      <c r="M27" s="23"/>
      <c r="N27" s="23"/>
      <c r="O27" s="23"/>
      <c r="P27" s="23"/>
      <c r="Q27" s="23"/>
      <c r="R27" s="23"/>
      <c r="S27" s="23"/>
      <c r="T27" s="23"/>
      <c r="U27" s="23"/>
    </row>
    <row r="28" spans="1:21" ht="42.75" customHeight="1" x14ac:dyDescent="0.25">
      <c r="A28" s="24" t="s">
        <v>54</v>
      </c>
      <c r="B28" s="26" t="s">
        <v>55</v>
      </c>
      <c r="C28" s="275">
        <v>2014</v>
      </c>
      <c r="D28" s="23"/>
      <c r="E28" s="23"/>
      <c r="F28" s="23"/>
      <c r="G28" s="23"/>
      <c r="H28" s="23"/>
      <c r="I28" s="23"/>
      <c r="J28" s="23"/>
      <c r="K28" s="23"/>
      <c r="L28" s="23"/>
      <c r="M28" s="23"/>
      <c r="N28" s="23"/>
      <c r="O28" s="23"/>
      <c r="P28" s="23"/>
      <c r="Q28" s="23"/>
      <c r="R28" s="23"/>
      <c r="S28" s="23"/>
      <c r="T28" s="23"/>
      <c r="U28" s="23"/>
    </row>
    <row r="29" spans="1:21" ht="42.75" customHeight="1" x14ac:dyDescent="0.25">
      <c r="A29" s="24" t="s">
        <v>52</v>
      </c>
      <c r="B29" s="25" t="s">
        <v>53</v>
      </c>
      <c r="C29" s="275">
        <v>2021</v>
      </c>
      <c r="D29" s="23"/>
      <c r="E29" s="23"/>
      <c r="F29" s="23"/>
      <c r="G29" s="23"/>
      <c r="H29" s="23"/>
      <c r="I29" s="23"/>
      <c r="J29" s="23"/>
      <c r="K29" s="23"/>
      <c r="L29" s="23"/>
      <c r="M29" s="23"/>
      <c r="N29" s="23"/>
      <c r="O29" s="23"/>
      <c r="P29" s="23"/>
      <c r="Q29" s="23"/>
      <c r="R29" s="23"/>
      <c r="S29" s="23"/>
      <c r="T29" s="23"/>
      <c r="U29" s="23"/>
    </row>
    <row r="30" spans="1:21" ht="42.75" customHeight="1" x14ac:dyDescent="0.25">
      <c r="A30" s="24" t="s">
        <v>70</v>
      </c>
      <c r="B30" s="25" t="s">
        <v>51</v>
      </c>
      <c r="C30" s="276" t="s">
        <v>762</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6"/>
  <sheetViews>
    <sheetView view="pageBreakPreview" zoomScaleNormal="100" zoomScaleSheetLayoutView="100" workbookViewId="0">
      <pane ySplit="3" topLeftCell="A40" activePane="bottomLeft" state="frozen"/>
      <selection activeCell="C41" sqref="C41"/>
      <selection pane="bottomLeft" activeCell="B41" sqref="B41:B50"/>
    </sheetView>
  </sheetViews>
  <sheetFormatPr defaultRowHeight="15" x14ac:dyDescent="0.25"/>
  <cols>
    <col min="1" max="1" width="7.7109375" customWidth="1"/>
    <col min="2" max="2" width="9.85546875" customWidth="1"/>
    <col min="3" max="3" width="20.28515625" bestFit="1" customWidth="1"/>
    <col min="4" max="4" width="17.85546875" customWidth="1"/>
    <col min="5" max="5" width="18" hidden="1" customWidth="1"/>
    <col min="6" max="6" width="13.5703125" hidden="1" customWidth="1"/>
    <col min="7" max="7" width="10.7109375" hidden="1" customWidth="1"/>
    <col min="8" max="8" width="9.28515625" hidden="1" customWidth="1"/>
    <col min="9" max="9" width="13.28515625" customWidth="1"/>
    <col min="10" max="12" width="9.85546875" customWidth="1"/>
    <col min="13" max="13" width="8.5703125" customWidth="1"/>
    <col min="14" max="14" width="10.28515625" customWidth="1"/>
    <col min="15" max="15" width="11.42578125" customWidth="1"/>
    <col min="16" max="16" width="72" customWidth="1"/>
  </cols>
  <sheetData>
    <row r="1" spans="1:19" s="264" customFormat="1" ht="15.75" x14ac:dyDescent="0.25">
      <c r="A1" s="283"/>
      <c r="B1" s="283"/>
      <c r="C1" s="283"/>
      <c r="D1" s="283"/>
      <c r="E1" s="283"/>
      <c r="F1" s="283"/>
      <c r="G1" s="283"/>
      <c r="H1" s="283"/>
      <c r="I1" s="283"/>
      <c r="J1" s="283"/>
      <c r="K1" s="283"/>
      <c r="L1" s="283"/>
      <c r="M1" s="283"/>
      <c r="N1" s="283"/>
      <c r="O1" s="283"/>
      <c r="P1" s="284"/>
    </row>
    <row r="3" spans="1:19" ht="78.75" x14ac:dyDescent="0.25">
      <c r="A3" s="383" t="s">
        <v>216</v>
      </c>
      <c r="B3" s="383" t="s">
        <v>552</v>
      </c>
      <c r="C3" s="383" t="s">
        <v>553</v>
      </c>
      <c r="D3" s="383" t="s">
        <v>554</v>
      </c>
      <c r="E3" s="383" t="s">
        <v>555</v>
      </c>
      <c r="F3" s="383" t="s">
        <v>556</v>
      </c>
      <c r="G3" s="383" t="s">
        <v>557</v>
      </c>
      <c r="H3" s="383" t="s">
        <v>558</v>
      </c>
      <c r="I3" s="383" t="s">
        <v>559</v>
      </c>
      <c r="J3" s="383" t="s">
        <v>560</v>
      </c>
      <c r="K3" s="383" t="s">
        <v>561</v>
      </c>
      <c r="L3" s="383" t="s">
        <v>562</v>
      </c>
      <c r="M3" s="383" t="s">
        <v>563</v>
      </c>
      <c r="N3" s="383" t="s">
        <v>642</v>
      </c>
      <c r="O3" s="383" t="s">
        <v>564</v>
      </c>
      <c r="P3" s="384" t="s">
        <v>565</v>
      </c>
    </row>
    <row r="4" spans="1:19" ht="15.75" x14ac:dyDescent="0.25">
      <c r="A4" s="384">
        <v>1</v>
      </c>
      <c r="B4" s="384">
        <v>2014</v>
      </c>
      <c r="C4" s="384" t="s">
        <v>611</v>
      </c>
      <c r="D4" s="384"/>
      <c r="E4" s="384"/>
      <c r="F4" s="384"/>
      <c r="G4" s="384"/>
      <c r="H4" s="384"/>
      <c r="I4" s="384" t="s">
        <v>371</v>
      </c>
      <c r="J4" s="384">
        <v>0</v>
      </c>
      <c r="K4" s="384">
        <v>0</v>
      </c>
      <c r="L4" s="384">
        <v>227</v>
      </c>
      <c r="M4" s="384">
        <v>0</v>
      </c>
      <c r="N4" s="385">
        <v>6.34</v>
      </c>
      <c r="O4" s="384">
        <v>227</v>
      </c>
      <c r="P4" s="386" t="s">
        <v>616</v>
      </c>
    </row>
    <row r="5" spans="1:19" ht="15.75" x14ac:dyDescent="0.25">
      <c r="A5" s="384">
        <v>2</v>
      </c>
      <c r="B5" s="384">
        <v>2014</v>
      </c>
      <c r="C5" s="384" t="s">
        <v>612</v>
      </c>
      <c r="D5" s="384"/>
      <c r="E5" s="384"/>
      <c r="F5" s="384"/>
      <c r="G5" s="384"/>
      <c r="H5" s="384"/>
      <c r="I5" s="384" t="s">
        <v>371</v>
      </c>
      <c r="J5" s="384">
        <v>1</v>
      </c>
      <c r="K5" s="384">
        <v>0</v>
      </c>
      <c r="L5" s="384">
        <v>217</v>
      </c>
      <c r="M5" s="384">
        <v>0</v>
      </c>
      <c r="N5" s="385">
        <v>8.25</v>
      </c>
      <c r="O5" s="384">
        <v>218</v>
      </c>
      <c r="P5" s="386" t="s">
        <v>617</v>
      </c>
    </row>
    <row r="6" spans="1:19" ht="15.75" x14ac:dyDescent="0.25">
      <c r="A6" s="384">
        <v>3</v>
      </c>
      <c r="B6" s="384">
        <v>2014</v>
      </c>
      <c r="C6" s="384" t="s">
        <v>594</v>
      </c>
      <c r="D6" s="384"/>
      <c r="E6" s="384"/>
      <c r="F6" s="384"/>
      <c r="G6" s="384"/>
      <c r="H6" s="384"/>
      <c r="I6" s="384" t="s">
        <v>371</v>
      </c>
      <c r="J6" s="384">
        <v>0</v>
      </c>
      <c r="K6" s="384">
        <v>18</v>
      </c>
      <c r="L6" s="384">
        <v>0</v>
      </c>
      <c r="M6" s="384">
        <v>0</v>
      </c>
      <c r="N6" s="385">
        <v>0.1</v>
      </c>
      <c r="O6" s="384">
        <v>18</v>
      </c>
      <c r="P6" s="386" t="s">
        <v>618</v>
      </c>
    </row>
    <row r="7" spans="1:19" ht="15.75" x14ac:dyDescent="0.25">
      <c r="A7" s="384">
        <v>4</v>
      </c>
      <c r="B7" s="384">
        <v>2014</v>
      </c>
      <c r="C7" s="384" t="s">
        <v>569</v>
      </c>
      <c r="D7" s="384"/>
      <c r="E7" s="384"/>
      <c r="F7" s="384"/>
      <c r="G7" s="384"/>
      <c r="H7" s="384"/>
      <c r="I7" s="384" t="s">
        <v>371</v>
      </c>
      <c r="J7" s="384">
        <v>20</v>
      </c>
      <c r="K7" s="384">
        <v>0</v>
      </c>
      <c r="L7" s="384">
        <v>0</v>
      </c>
      <c r="M7" s="384">
        <v>0</v>
      </c>
      <c r="N7" s="385">
        <v>0.19</v>
      </c>
      <c r="O7" s="384">
        <v>20</v>
      </c>
      <c r="P7" s="386" t="s">
        <v>619</v>
      </c>
    </row>
    <row r="8" spans="1:19" ht="15.75" x14ac:dyDescent="0.25">
      <c r="A8" s="384">
        <v>5</v>
      </c>
      <c r="B8" s="384">
        <v>2014</v>
      </c>
      <c r="C8" s="384" t="s">
        <v>613</v>
      </c>
      <c r="D8" s="384"/>
      <c r="E8" s="384"/>
      <c r="F8" s="384"/>
      <c r="G8" s="384"/>
      <c r="H8" s="384"/>
      <c r="I8" s="384" t="s">
        <v>371</v>
      </c>
      <c r="J8" s="384">
        <v>0</v>
      </c>
      <c r="K8" s="384">
        <v>0</v>
      </c>
      <c r="L8" s="384">
        <v>10</v>
      </c>
      <c r="M8" s="384">
        <v>0</v>
      </c>
      <c r="N8" s="385">
        <v>0.33</v>
      </c>
      <c r="O8" s="384">
        <v>10</v>
      </c>
      <c r="P8" s="386" t="s">
        <v>620</v>
      </c>
    </row>
    <row r="9" spans="1:19" ht="15.75" x14ac:dyDescent="0.25">
      <c r="A9" s="384">
        <v>6</v>
      </c>
      <c r="B9" s="384">
        <v>2014</v>
      </c>
      <c r="C9" s="384" t="s">
        <v>579</v>
      </c>
      <c r="D9" s="384" t="s">
        <v>580</v>
      </c>
      <c r="E9" s="384"/>
      <c r="F9" s="384"/>
      <c r="G9" s="384"/>
      <c r="H9" s="384"/>
      <c r="I9" s="384">
        <v>1787.155</v>
      </c>
      <c r="J9" s="384">
        <v>352</v>
      </c>
      <c r="K9" s="384">
        <v>41</v>
      </c>
      <c r="L9" s="384">
        <v>21</v>
      </c>
      <c r="M9" s="384">
        <v>12</v>
      </c>
      <c r="N9" s="385">
        <v>5.76</v>
      </c>
      <c r="O9" s="384">
        <v>414</v>
      </c>
      <c r="P9" s="386" t="s">
        <v>621</v>
      </c>
    </row>
    <row r="10" spans="1:19" ht="15.75" x14ac:dyDescent="0.25">
      <c r="A10" s="384">
        <v>7</v>
      </c>
      <c r="B10" s="384">
        <v>2014</v>
      </c>
      <c r="C10" s="384" t="s">
        <v>582</v>
      </c>
      <c r="D10" s="384"/>
      <c r="E10" s="384"/>
      <c r="F10" s="384"/>
      <c r="G10" s="384"/>
      <c r="H10" s="384"/>
      <c r="I10" s="384" t="s">
        <v>371</v>
      </c>
      <c r="J10" s="384">
        <v>0</v>
      </c>
      <c r="K10" s="384">
        <v>2</v>
      </c>
      <c r="L10" s="384">
        <v>5</v>
      </c>
      <c r="M10" s="384">
        <v>0</v>
      </c>
      <c r="N10" s="385">
        <v>0.17</v>
      </c>
      <c r="O10" s="384">
        <v>7</v>
      </c>
      <c r="P10" s="386" t="s">
        <v>622</v>
      </c>
    </row>
    <row r="11" spans="1:19" ht="15.75" x14ac:dyDescent="0.25">
      <c r="A11" s="384">
        <v>8</v>
      </c>
      <c r="B11" s="384">
        <v>2014</v>
      </c>
      <c r="C11" s="384" t="s">
        <v>614</v>
      </c>
      <c r="D11" s="384"/>
      <c r="E11" s="384"/>
      <c r="F11" s="384"/>
      <c r="G11" s="384"/>
      <c r="H11" s="384"/>
      <c r="I11" s="384" t="s">
        <v>371</v>
      </c>
      <c r="J11" s="384">
        <v>0</v>
      </c>
      <c r="K11" s="384">
        <v>0</v>
      </c>
      <c r="L11" s="384">
        <v>14</v>
      </c>
      <c r="M11" s="384">
        <v>0</v>
      </c>
      <c r="N11" s="385">
        <v>0.45</v>
      </c>
      <c r="O11" s="384">
        <v>14</v>
      </c>
      <c r="P11" s="386" t="s">
        <v>623</v>
      </c>
    </row>
    <row r="12" spans="1:19" ht="15.75" x14ac:dyDescent="0.25">
      <c r="A12" s="384">
        <v>9</v>
      </c>
      <c r="B12" s="384">
        <v>2014</v>
      </c>
      <c r="C12" s="384" t="s">
        <v>574</v>
      </c>
      <c r="D12" s="384"/>
      <c r="E12" s="384"/>
      <c r="F12" s="384"/>
      <c r="G12" s="384"/>
      <c r="H12" s="384"/>
      <c r="I12" s="384" t="s">
        <v>371</v>
      </c>
      <c r="J12" s="384">
        <v>0</v>
      </c>
      <c r="K12" s="384">
        <v>0</v>
      </c>
      <c r="L12" s="384">
        <v>40</v>
      </c>
      <c r="M12" s="384">
        <v>0</v>
      </c>
      <c r="N12" s="385">
        <v>1.28</v>
      </c>
      <c r="O12" s="384">
        <v>40</v>
      </c>
      <c r="P12" s="386" t="s">
        <v>624</v>
      </c>
    </row>
    <row r="13" spans="1:19" ht="15.75" x14ac:dyDescent="0.25">
      <c r="A13" s="384">
        <v>10</v>
      </c>
      <c r="B13" s="384">
        <v>2014</v>
      </c>
      <c r="C13" s="384" t="s">
        <v>611</v>
      </c>
      <c r="D13" s="384"/>
      <c r="E13" s="384"/>
      <c r="F13" s="384"/>
      <c r="G13" s="384"/>
      <c r="H13" s="384"/>
      <c r="I13" s="384" t="s">
        <v>371</v>
      </c>
      <c r="J13" s="384">
        <v>0</v>
      </c>
      <c r="K13" s="384">
        <v>0</v>
      </c>
      <c r="L13" s="384">
        <v>15</v>
      </c>
      <c r="M13" s="384">
        <v>0</v>
      </c>
      <c r="N13" s="385">
        <v>0.49</v>
      </c>
      <c r="O13" s="384">
        <v>15</v>
      </c>
      <c r="P13" s="386" t="s">
        <v>616</v>
      </c>
    </row>
    <row r="14" spans="1:19" ht="15.75" x14ac:dyDescent="0.25">
      <c r="A14" s="384">
        <v>11</v>
      </c>
      <c r="B14" s="384">
        <v>2014</v>
      </c>
      <c r="C14" s="384" t="s">
        <v>615</v>
      </c>
      <c r="D14" s="384"/>
      <c r="E14" s="384"/>
      <c r="F14" s="384"/>
      <c r="G14" s="384"/>
      <c r="H14" s="384"/>
      <c r="I14" s="384" t="s">
        <v>371</v>
      </c>
      <c r="J14" s="384">
        <v>0</v>
      </c>
      <c r="K14" s="384">
        <v>2</v>
      </c>
      <c r="L14" s="384">
        <v>0</v>
      </c>
      <c r="M14" s="384">
        <v>0</v>
      </c>
      <c r="N14" s="385">
        <v>0.02</v>
      </c>
      <c r="O14" s="384">
        <v>2</v>
      </c>
      <c r="P14" s="386" t="s">
        <v>625</v>
      </c>
    </row>
    <row r="15" spans="1:19" s="285" customFormat="1" ht="15.75" x14ac:dyDescent="0.25">
      <c r="A15" s="387" t="s">
        <v>605</v>
      </c>
      <c r="B15" s="388"/>
      <c r="C15" s="389"/>
      <c r="D15" s="388"/>
      <c r="E15" s="388"/>
      <c r="F15" s="388"/>
      <c r="G15" s="388"/>
      <c r="H15" s="388"/>
      <c r="I15" s="388">
        <f>SUM(I4:I14)</f>
        <v>1787.155</v>
      </c>
      <c r="J15" s="388">
        <f>SUM(J4:J14)</f>
        <v>373</v>
      </c>
      <c r="K15" s="388">
        <f t="shared" ref="K15:M15" si="0">SUM(K4:K14)</f>
        <v>63</v>
      </c>
      <c r="L15" s="388">
        <f t="shared" si="0"/>
        <v>549</v>
      </c>
      <c r="M15" s="388">
        <f t="shared" si="0"/>
        <v>12</v>
      </c>
      <c r="N15" s="390">
        <v>23.531828959999999</v>
      </c>
      <c r="O15" s="388">
        <f>SUM(O4:O14)</f>
        <v>985</v>
      </c>
      <c r="P15" s="391"/>
      <c r="S15"/>
    </row>
    <row r="16" spans="1:19" ht="15.75" x14ac:dyDescent="0.25">
      <c r="A16" s="384">
        <v>12</v>
      </c>
      <c r="B16" s="384">
        <v>2015</v>
      </c>
      <c r="C16" s="384" t="s">
        <v>566</v>
      </c>
      <c r="D16" s="384"/>
      <c r="E16" s="384"/>
      <c r="F16" s="384"/>
      <c r="G16" s="384"/>
      <c r="H16" s="384"/>
      <c r="I16" s="384" t="s">
        <v>371</v>
      </c>
      <c r="J16" s="384">
        <v>0</v>
      </c>
      <c r="K16" s="384">
        <v>0</v>
      </c>
      <c r="L16" s="384">
        <v>12</v>
      </c>
      <c r="M16" s="384">
        <v>0</v>
      </c>
      <c r="N16" s="385">
        <v>0.46657305999999998</v>
      </c>
      <c r="O16" s="384">
        <v>12</v>
      </c>
      <c r="P16" s="386" t="s">
        <v>627</v>
      </c>
    </row>
    <row r="17" spans="1:19" ht="15.75" x14ac:dyDescent="0.25">
      <c r="A17" s="384">
        <v>13</v>
      </c>
      <c r="B17" s="384">
        <v>2015</v>
      </c>
      <c r="C17" s="384" t="s">
        <v>615</v>
      </c>
      <c r="D17" s="384" t="s">
        <v>626</v>
      </c>
      <c r="E17" s="384"/>
      <c r="F17" s="384"/>
      <c r="G17" s="384"/>
      <c r="H17" s="384"/>
      <c r="I17" s="384" t="s">
        <v>371</v>
      </c>
      <c r="J17" s="384">
        <v>596</v>
      </c>
      <c r="K17" s="384">
        <v>4</v>
      </c>
      <c r="L17" s="384">
        <v>38</v>
      </c>
      <c r="M17" s="384">
        <v>24</v>
      </c>
      <c r="N17" s="385">
        <v>10.125371509999999</v>
      </c>
      <c r="O17" s="384">
        <v>638</v>
      </c>
      <c r="P17" s="386" t="s">
        <v>628</v>
      </c>
    </row>
    <row r="18" spans="1:19" ht="15.75" x14ac:dyDescent="0.25">
      <c r="A18" s="384">
        <v>14</v>
      </c>
      <c r="B18" s="384">
        <v>2015</v>
      </c>
      <c r="C18" s="384" t="s">
        <v>612</v>
      </c>
      <c r="D18" s="384"/>
      <c r="E18" s="384"/>
      <c r="F18" s="384"/>
      <c r="G18" s="384"/>
      <c r="H18" s="384"/>
      <c r="I18" s="384" t="s">
        <v>371</v>
      </c>
      <c r="J18" s="384">
        <v>0</v>
      </c>
      <c r="K18" s="384">
        <v>1</v>
      </c>
      <c r="L18" s="384">
        <v>10</v>
      </c>
      <c r="M18" s="384">
        <v>0</v>
      </c>
      <c r="N18" s="385">
        <v>0.30834643</v>
      </c>
      <c r="O18" s="384">
        <v>11</v>
      </c>
      <c r="P18" s="386" t="s">
        <v>617</v>
      </c>
    </row>
    <row r="19" spans="1:19" s="285" customFormat="1" ht="15.75" x14ac:dyDescent="0.25">
      <c r="A19" s="387" t="s">
        <v>606</v>
      </c>
      <c r="B19" s="388"/>
      <c r="C19" s="389"/>
      <c r="D19" s="388"/>
      <c r="E19" s="388"/>
      <c r="F19" s="388"/>
      <c r="G19" s="388"/>
      <c r="H19" s="388"/>
      <c r="I19" s="388">
        <f>SUM(I16:I18)</f>
        <v>0</v>
      </c>
      <c r="J19" s="388">
        <f t="shared" ref="J19:M19" si="1">SUM(J16:J18)</f>
        <v>596</v>
      </c>
      <c r="K19" s="388">
        <f t="shared" si="1"/>
        <v>5</v>
      </c>
      <c r="L19" s="388">
        <f t="shared" si="1"/>
        <v>60</v>
      </c>
      <c r="M19" s="388">
        <f t="shared" si="1"/>
        <v>24</v>
      </c>
      <c r="N19" s="390">
        <f>SUM(N16:N18)</f>
        <v>10.900290999999999</v>
      </c>
      <c r="O19" s="388">
        <f>SUM(O16:O18)</f>
        <v>661</v>
      </c>
      <c r="P19" s="391"/>
      <c r="S19"/>
    </row>
    <row r="20" spans="1:19" ht="15.75" x14ac:dyDescent="0.25">
      <c r="A20" s="384">
        <v>15</v>
      </c>
      <c r="B20" s="384">
        <v>2016</v>
      </c>
      <c r="C20" s="384" t="s">
        <v>594</v>
      </c>
      <c r="D20" s="384" t="s">
        <v>629</v>
      </c>
      <c r="E20" s="384"/>
      <c r="F20" s="384"/>
      <c r="G20" s="384"/>
      <c r="H20" s="384"/>
      <c r="I20" s="384">
        <v>2268</v>
      </c>
      <c r="J20" s="384">
        <v>556</v>
      </c>
      <c r="K20" s="384">
        <v>43</v>
      </c>
      <c r="L20" s="384">
        <v>37</v>
      </c>
      <c r="M20" s="384">
        <v>22</v>
      </c>
      <c r="N20" s="385">
        <v>12.35699481</v>
      </c>
      <c r="O20" s="384">
        <v>636</v>
      </c>
      <c r="P20" s="386" t="s">
        <v>618</v>
      </c>
    </row>
    <row r="21" spans="1:19" ht="15.75" x14ac:dyDescent="0.25">
      <c r="A21" s="384">
        <v>16</v>
      </c>
      <c r="B21" s="384">
        <v>2016</v>
      </c>
      <c r="C21" s="384" t="s">
        <v>615</v>
      </c>
      <c r="D21" s="384" t="s">
        <v>626</v>
      </c>
      <c r="E21" s="384"/>
      <c r="F21" s="384"/>
      <c r="G21" s="384"/>
      <c r="H21" s="384"/>
      <c r="I21" s="384">
        <v>698</v>
      </c>
      <c r="J21" s="384">
        <v>36</v>
      </c>
      <c r="K21" s="384">
        <v>45</v>
      </c>
      <c r="L21" s="384">
        <v>9</v>
      </c>
      <c r="M21" s="384">
        <v>0</v>
      </c>
      <c r="N21" s="385">
        <v>2.1449951400000002</v>
      </c>
      <c r="O21" s="384">
        <v>90</v>
      </c>
      <c r="P21" s="386" t="s">
        <v>628</v>
      </c>
    </row>
    <row r="22" spans="1:19" ht="15.75" x14ac:dyDescent="0.25">
      <c r="A22" s="384">
        <v>17</v>
      </c>
      <c r="B22" s="384">
        <v>2016</v>
      </c>
      <c r="C22" s="384" t="s">
        <v>612</v>
      </c>
      <c r="D22" s="384"/>
      <c r="E22" s="384"/>
      <c r="F22" s="384"/>
      <c r="G22" s="384"/>
      <c r="H22" s="384"/>
      <c r="I22" s="384">
        <v>4177</v>
      </c>
      <c r="J22" s="384">
        <v>0</v>
      </c>
      <c r="K22" s="384">
        <v>0</v>
      </c>
      <c r="L22" s="384">
        <v>353</v>
      </c>
      <c r="M22" s="384">
        <v>0</v>
      </c>
      <c r="N22" s="385">
        <v>9.5443689999999997</v>
      </c>
      <c r="O22" s="384">
        <v>353</v>
      </c>
      <c r="P22" s="386" t="s">
        <v>617</v>
      </c>
    </row>
    <row r="23" spans="1:19" ht="15.75" x14ac:dyDescent="0.25">
      <c r="A23" s="384">
        <v>18</v>
      </c>
      <c r="B23" s="384">
        <v>2016</v>
      </c>
      <c r="C23" s="384" t="s">
        <v>569</v>
      </c>
      <c r="D23" s="384"/>
      <c r="E23" s="384"/>
      <c r="F23" s="384"/>
      <c r="G23" s="384"/>
      <c r="H23" s="384"/>
      <c r="I23" s="384" t="s">
        <v>371</v>
      </c>
      <c r="J23" s="392">
        <v>179</v>
      </c>
      <c r="K23" s="392">
        <v>175</v>
      </c>
      <c r="L23" s="392">
        <v>10</v>
      </c>
      <c r="M23" s="384">
        <v>7</v>
      </c>
      <c r="N23" s="385">
        <v>8.6158538599999996</v>
      </c>
      <c r="O23" s="384">
        <v>364</v>
      </c>
      <c r="P23" s="386" t="s">
        <v>619</v>
      </c>
    </row>
    <row r="24" spans="1:19" s="285" customFormat="1" ht="15.75" x14ac:dyDescent="0.25">
      <c r="A24" s="387" t="s">
        <v>607</v>
      </c>
      <c r="B24" s="388"/>
      <c r="C24" s="389"/>
      <c r="D24" s="388"/>
      <c r="E24" s="388"/>
      <c r="F24" s="388"/>
      <c r="G24" s="388"/>
      <c r="H24" s="388"/>
      <c r="I24" s="388">
        <f>SUM(I20:I23)</f>
        <v>7143</v>
      </c>
      <c r="J24" s="388">
        <f t="shared" ref="J24:M24" si="2">SUM(J20:J23)</f>
        <v>771</v>
      </c>
      <c r="K24" s="388">
        <f t="shared" si="2"/>
        <v>263</v>
      </c>
      <c r="L24" s="388">
        <f t="shared" si="2"/>
        <v>409</v>
      </c>
      <c r="M24" s="388">
        <f t="shared" si="2"/>
        <v>29</v>
      </c>
      <c r="N24" s="390">
        <f>SUM(N20:N23)</f>
        <v>32.66221281</v>
      </c>
      <c r="O24" s="388">
        <f>SUM(O20:O23)</f>
        <v>1443</v>
      </c>
      <c r="P24" s="391"/>
      <c r="S24"/>
    </row>
    <row r="25" spans="1:19" ht="15.75" x14ac:dyDescent="0.25">
      <c r="A25" s="384">
        <v>19</v>
      </c>
      <c r="B25" s="384">
        <v>2017</v>
      </c>
      <c r="C25" s="384" t="s">
        <v>569</v>
      </c>
      <c r="D25" s="384" t="s">
        <v>630</v>
      </c>
      <c r="E25" s="384"/>
      <c r="F25" s="384"/>
      <c r="G25" s="384"/>
      <c r="H25" s="384"/>
      <c r="I25" s="384">
        <v>3248</v>
      </c>
      <c r="J25" s="384">
        <v>444</v>
      </c>
      <c r="K25" s="384">
        <v>292</v>
      </c>
      <c r="L25" s="384">
        <v>42</v>
      </c>
      <c r="M25" s="384">
        <v>16</v>
      </c>
      <c r="N25" s="385">
        <v>16.042098890000002</v>
      </c>
      <c r="O25" s="384">
        <v>778</v>
      </c>
      <c r="P25" s="386" t="s">
        <v>632</v>
      </c>
    </row>
    <row r="26" spans="1:19" ht="15.75" x14ac:dyDescent="0.25">
      <c r="A26" s="384">
        <v>20</v>
      </c>
      <c r="B26" s="384">
        <v>2017</v>
      </c>
      <c r="C26" s="384" t="s">
        <v>594</v>
      </c>
      <c r="D26" s="384"/>
      <c r="E26" s="384"/>
      <c r="F26" s="384"/>
      <c r="G26" s="384"/>
      <c r="H26" s="384"/>
      <c r="I26" s="384" t="s">
        <v>371</v>
      </c>
      <c r="J26" s="384">
        <v>0</v>
      </c>
      <c r="K26" s="384">
        <v>0</v>
      </c>
      <c r="L26" s="384">
        <v>1</v>
      </c>
      <c r="M26" s="384">
        <v>0</v>
      </c>
      <c r="N26" s="385">
        <v>0.53371055000000001</v>
      </c>
      <c r="O26" s="384">
        <v>1</v>
      </c>
      <c r="P26" s="386" t="s">
        <v>618</v>
      </c>
    </row>
    <row r="27" spans="1:19" ht="31.5" x14ac:dyDescent="0.25">
      <c r="A27" s="384">
        <v>21</v>
      </c>
      <c r="B27" s="384">
        <v>2017</v>
      </c>
      <c r="C27" s="384" t="s">
        <v>579</v>
      </c>
      <c r="D27" s="384" t="s">
        <v>580</v>
      </c>
      <c r="E27" s="384"/>
      <c r="F27" s="384"/>
      <c r="G27" s="384"/>
      <c r="H27" s="384"/>
      <c r="I27" s="384">
        <v>505</v>
      </c>
      <c r="J27" s="384">
        <v>73</v>
      </c>
      <c r="K27" s="384">
        <v>50</v>
      </c>
      <c r="L27" s="384">
        <v>4</v>
      </c>
      <c r="M27" s="384">
        <v>0</v>
      </c>
      <c r="N27" s="385">
        <v>2.5077058599999997</v>
      </c>
      <c r="O27" s="384">
        <v>127</v>
      </c>
      <c r="P27" s="386" t="s">
        <v>633</v>
      </c>
    </row>
    <row r="28" spans="1:19" ht="31.5" x14ac:dyDescent="0.25">
      <c r="A28" s="384">
        <v>22</v>
      </c>
      <c r="B28" s="384">
        <v>2017</v>
      </c>
      <c r="C28" s="384" t="s">
        <v>613</v>
      </c>
      <c r="D28" s="384" t="s">
        <v>631</v>
      </c>
      <c r="E28" s="384"/>
      <c r="F28" s="384"/>
      <c r="G28" s="384"/>
      <c r="H28" s="384"/>
      <c r="I28" s="384">
        <v>2883</v>
      </c>
      <c r="J28" s="392">
        <v>302</v>
      </c>
      <c r="K28" s="392">
        <v>108</v>
      </c>
      <c r="L28" s="392">
        <v>125</v>
      </c>
      <c r="M28" s="384">
        <v>27</v>
      </c>
      <c r="N28" s="385">
        <v>12.345838000000001</v>
      </c>
      <c r="O28" s="384">
        <v>535</v>
      </c>
      <c r="P28" s="386" t="s">
        <v>634</v>
      </c>
    </row>
    <row r="29" spans="1:19" s="285" customFormat="1" ht="15.75" x14ac:dyDescent="0.25">
      <c r="A29" s="387" t="s">
        <v>608</v>
      </c>
      <c r="B29" s="388"/>
      <c r="C29" s="389"/>
      <c r="D29" s="388"/>
      <c r="E29" s="388"/>
      <c r="F29" s="388"/>
      <c r="G29" s="388"/>
      <c r="H29" s="388"/>
      <c r="I29" s="388">
        <f>SUM(I25:I28)</f>
        <v>6636</v>
      </c>
      <c r="J29" s="388">
        <f t="shared" ref="J29:M29" si="3">SUM(J25:J28)</f>
        <v>819</v>
      </c>
      <c r="K29" s="388">
        <f t="shared" si="3"/>
        <v>450</v>
      </c>
      <c r="L29" s="388">
        <f t="shared" si="3"/>
        <v>172</v>
      </c>
      <c r="M29" s="388">
        <f t="shared" si="3"/>
        <v>43</v>
      </c>
      <c r="N29" s="390">
        <f>SUM(N25:N28)</f>
        <v>31.429353300000002</v>
      </c>
      <c r="O29" s="388">
        <f>SUM(O25:O28)</f>
        <v>1441</v>
      </c>
      <c r="P29" s="391"/>
      <c r="S29"/>
    </row>
    <row r="30" spans="1:19" ht="15.75" x14ac:dyDescent="0.25">
      <c r="A30" s="384">
        <v>23</v>
      </c>
      <c r="B30" s="384">
        <v>2018</v>
      </c>
      <c r="C30" s="384" t="s">
        <v>612</v>
      </c>
      <c r="D30" s="384"/>
      <c r="E30" s="384"/>
      <c r="F30" s="384"/>
      <c r="G30" s="384"/>
      <c r="H30" s="384"/>
      <c r="I30" s="384" t="s">
        <v>371</v>
      </c>
      <c r="J30" s="384">
        <v>0</v>
      </c>
      <c r="K30" s="384">
        <v>0</v>
      </c>
      <c r="L30" s="384">
        <v>4</v>
      </c>
      <c r="M30" s="384">
        <v>0</v>
      </c>
      <c r="N30" s="385">
        <v>0.105882</v>
      </c>
      <c r="O30" s="384">
        <v>4</v>
      </c>
      <c r="P30" s="386" t="s">
        <v>617</v>
      </c>
    </row>
    <row r="31" spans="1:19" s="285" customFormat="1" ht="15.75" x14ac:dyDescent="0.25">
      <c r="A31" s="387" t="s">
        <v>609</v>
      </c>
      <c r="B31" s="388"/>
      <c r="C31" s="389"/>
      <c r="D31" s="388"/>
      <c r="E31" s="388"/>
      <c r="F31" s="388"/>
      <c r="G31" s="388"/>
      <c r="H31" s="388"/>
      <c r="I31" s="388">
        <f>SUM(I30)</f>
        <v>0</v>
      </c>
      <c r="J31" s="388">
        <f t="shared" ref="J31:M31" si="4">SUM(J30)</f>
        <v>0</v>
      </c>
      <c r="K31" s="388">
        <f t="shared" si="4"/>
        <v>0</v>
      </c>
      <c r="L31" s="388">
        <f t="shared" si="4"/>
        <v>4</v>
      </c>
      <c r="M31" s="388">
        <f t="shared" si="4"/>
        <v>0</v>
      </c>
      <c r="N31" s="390">
        <f>SUM(N30)</f>
        <v>0.105882</v>
      </c>
      <c r="O31" s="388">
        <f>SUM(O30)</f>
        <v>4</v>
      </c>
      <c r="P31" s="393"/>
      <c r="S31"/>
    </row>
    <row r="32" spans="1:19" s="277" customFormat="1" ht="15.75" x14ac:dyDescent="0.25">
      <c r="A32" s="384">
        <v>24</v>
      </c>
      <c r="B32" s="394">
        <v>2019</v>
      </c>
      <c r="C32" s="395" t="s">
        <v>591</v>
      </c>
      <c r="D32" s="394" t="s">
        <v>592</v>
      </c>
      <c r="E32" s="394">
        <v>1269.2659824269999</v>
      </c>
      <c r="F32" s="396">
        <v>0.59531929557248442</v>
      </c>
      <c r="G32" s="394">
        <f>E32-I32</f>
        <v>1167.2659824269999</v>
      </c>
      <c r="H32" s="396">
        <f t="shared" ref="H32:H39" si="5">G32*F32/E32</f>
        <v>0.54747859946221444</v>
      </c>
      <c r="I32" s="394">
        <v>102</v>
      </c>
      <c r="J32" s="394">
        <v>27</v>
      </c>
      <c r="K32" s="394">
        <v>2</v>
      </c>
      <c r="L32" s="394">
        <v>1</v>
      </c>
      <c r="M32" s="394">
        <v>1</v>
      </c>
      <c r="N32" s="397">
        <v>0.36837500000000001</v>
      </c>
      <c r="O32" s="394">
        <f>SUM(J32:L32)</f>
        <v>30</v>
      </c>
      <c r="P32" s="398" t="s">
        <v>593</v>
      </c>
      <c r="S32"/>
    </row>
    <row r="33" spans="1:19" s="277" customFormat="1" ht="90" x14ac:dyDescent="0.25">
      <c r="A33" s="384">
        <v>25</v>
      </c>
      <c r="B33" s="394">
        <v>2019</v>
      </c>
      <c r="C33" s="395" t="s">
        <v>594</v>
      </c>
      <c r="D33" s="394" t="s">
        <v>577</v>
      </c>
      <c r="E33" s="399">
        <v>3670.4210111359998</v>
      </c>
      <c r="F33" s="396">
        <v>2.3644668622142012E-2</v>
      </c>
      <c r="G33" s="394">
        <f t="shared" ref="G33:G39" si="6">E33-I33</f>
        <v>1968.0610111359999</v>
      </c>
      <c r="H33" s="396">
        <f t="shared" si="5"/>
        <v>1.2678150625033089E-2</v>
      </c>
      <c r="I33" s="394">
        <v>1702.36</v>
      </c>
      <c r="J33" s="394">
        <v>399</v>
      </c>
      <c r="K33" s="394">
        <v>34</v>
      </c>
      <c r="L33" s="394">
        <v>26</v>
      </c>
      <c r="M33" s="394">
        <v>22</v>
      </c>
      <c r="N33" s="397">
        <v>6.7134111000000001</v>
      </c>
      <c r="O33" s="394">
        <f t="shared" ref="O33:O39" si="7">SUM(J33:L33)</f>
        <v>459</v>
      </c>
      <c r="P33" s="398" t="s">
        <v>595</v>
      </c>
      <c r="S33"/>
    </row>
    <row r="34" spans="1:19" s="277" customFormat="1" ht="60" x14ac:dyDescent="0.25">
      <c r="A34" s="384">
        <v>26</v>
      </c>
      <c r="B34" s="394">
        <v>2019</v>
      </c>
      <c r="C34" s="395" t="s">
        <v>594</v>
      </c>
      <c r="D34" s="394" t="s">
        <v>578</v>
      </c>
      <c r="E34" s="394">
        <v>2760.6379999999999</v>
      </c>
      <c r="F34" s="396">
        <v>0.2020581243980169</v>
      </c>
      <c r="G34" s="394">
        <f>E34-I34</f>
        <v>1365.0079999999998</v>
      </c>
      <c r="H34" s="396">
        <f t="shared" si="5"/>
        <v>9.9908411123909857E-2</v>
      </c>
      <c r="I34" s="394">
        <v>1395.63</v>
      </c>
      <c r="J34" s="394">
        <v>304</v>
      </c>
      <c r="K34" s="394">
        <v>29</v>
      </c>
      <c r="L34" s="394">
        <v>14</v>
      </c>
      <c r="M34" s="394">
        <v>12</v>
      </c>
      <c r="N34" s="397">
        <v>4.3577537399999997</v>
      </c>
      <c r="O34" s="394">
        <f t="shared" si="7"/>
        <v>347</v>
      </c>
      <c r="P34" s="398" t="s">
        <v>596</v>
      </c>
      <c r="S34"/>
    </row>
    <row r="35" spans="1:19" s="277" customFormat="1" ht="45" x14ac:dyDescent="0.25">
      <c r="A35" s="384">
        <v>27</v>
      </c>
      <c r="B35" s="394">
        <v>2019</v>
      </c>
      <c r="C35" s="395" t="s">
        <v>579</v>
      </c>
      <c r="D35" s="394" t="s">
        <v>580</v>
      </c>
      <c r="E35" s="394">
        <v>1965.8007089</v>
      </c>
      <c r="F35" s="396">
        <v>0.10356898082035321</v>
      </c>
      <c r="G35" s="394">
        <f t="shared" si="6"/>
        <v>481.52070890000005</v>
      </c>
      <c r="H35" s="396">
        <f t="shared" si="5"/>
        <v>2.5369107274649933E-2</v>
      </c>
      <c r="I35" s="394">
        <v>1484.28</v>
      </c>
      <c r="J35" s="394">
        <v>258</v>
      </c>
      <c r="K35" s="394">
        <v>78</v>
      </c>
      <c r="L35" s="394">
        <v>29</v>
      </c>
      <c r="M35" s="394">
        <v>8</v>
      </c>
      <c r="N35" s="397">
        <v>6.62389604</v>
      </c>
      <c r="O35" s="394">
        <f t="shared" si="7"/>
        <v>365</v>
      </c>
      <c r="P35" s="398" t="s">
        <v>597</v>
      </c>
      <c r="S35"/>
    </row>
    <row r="36" spans="1:19" s="277" customFormat="1" ht="30" x14ac:dyDescent="0.25">
      <c r="A36" s="384">
        <v>28</v>
      </c>
      <c r="B36" s="394">
        <v>2019</v>
      </c>
      <c r="C36" s="395" t="s">
        <v>570</v>
      </c>
      <c r="D36" s="394" t="s">
        <v>571</v>
      </c>
      <c r="E36" s="394">
        <v>2727.459067667</v>
      </c>
      <c r="F36" s="396">
        <v>0.23086168673397614</v>
      </c>
      <c r="G36" s="394">
        <f t="shared" si="6"/>
        <v>1321.2790676669999</v>
      </c>
      <c r="H36" s="396">
        <f t="shared" si="5"/>
        <v>0.1118376872540259</v>
      </c>
      <c r="I36" s="394">
        <v>1406.18</v>
      </c>
      <c r="J36" s="394">
        <v>235</v>
      </c>
      <c r="K36" s="394">
        <v>116</v>
      </c>
      <c r="L36" s="394">
        <v>17</v>
      </c>
      <c r="M36" s="394">
        <v>6</v>
      </c>
      <c r="N36" s="397">
        <v>4.9755037099999999</v>
      </c>
      <c r="O36" s="394">
        <f t="shared" si="7"/>
        <v>368</v>
      </c>
      <c r="P36" s="398" t="s">
        <v>598</v>
      </c>
      <c r="S36"/>
    </row>
    <row r="37" spans="1:19" s="277" customFormat="1" ht="15.75" x14ac:dyDescent="0.25">
      <c r="A37" s="384">
        <v>29</v>
      </c>
      <c r="B37" s="394">
        <v>2019</v>
      </c>
      <c r="C37" s="395" t="s">
        <v>582</v>
      </c>
      <c r="D37" s="394" t="s">
        <v>599</v>
      </c>
      <c r="E37" s="394">
        <v>1145.999409605</v>
      </c>
      <c r="F37" s="396">
        <v>0.19559683804832911</v>
      </c>
      <c r="G37" s="394">
        <f t="shared" si="6"/>
        <v>784.79940960499994</v>
      </c>
      <c r="H37" s="396">
        <f t="shared" si="5"/>
        <v>0.13394795995038333</v>
      </c>
      <c r="I37" s="394">
        <v>361.2</v>
      </c>
      <c r="J37" s="394">
        <v>160</v>
      </c>
      <c r="K37" s="394">
        <v>3</v>
      </c>
      <c r="L37" s="394">
        <v>0</v>
      </c>
      <c r="M37" s="394">
        <v>1</v>
      </c>
      <c r="N37" s="477">
        <v>3.1494728599999999</v>
      </c>
      <c r="O37" s="394">
        <f t="shared" si="7"/>
        <v>163</v>
      </c>
      <c r="P37" s="398" t="s">
        <v>600</v>
      </c>
      <c r="S37"/>
    </row>
    <row r="38" spans="1:19" s="277" customFormat="1" ht="15.75" x14ac:dyDescent="0.25">
      <c r="A38" s="384">
        <v>30</v>
      </c>
      <c r="B38" s="394">
        <v>2019</v>
      </c>
      <c r="C38" s="395" t="s">
        <v>582</v>
      </c>
      <c r="D38" s="394" t="s">
        <v>601</v>
      </c>
      <c r="E38" s="394">
        <v>1319.193714905</v>
      </c>
      <c r="F38" s="396">
        <v>0.12269349587502605</v>
      </c>
      <c r="G38" s="394">
        <f t="shared" si="6"/>
        <v>1068.393714905</v>
      </c>
      <c r="H38" s="396">
        <f t="shared" si="5"/>
        <v>9.9367483616339305E-2</v>
      </c>
      <c r="I38" s="394">
        <v>250.8</v>
      </c>
      <c r="J38" s="394">
        <v>13</v>
      </c>
      <c r="K38" s="394">
        <v>56</v>
      </c>
      <c r="L38" s="394">
        <v>0</v>
      </c>
      <c r="M38" s="394">
        <v>1</v>
      </c>
      <c r="N38" s="478"/>
      <c r="O38" s="394">
        <f t="shared" si="7"/>
        <v>69</v>
      </c>
      <c r="P38" s="398" t="s">
        <v>602</v>
      </c>
      <c r="S38"/>
    </row>
    <row r="39" spans="1:19" s="277" customFormat="1" ht="15.75" x14ac:dyDescent="0.25">
      <c r="A39" s="384">
        <v>31</v>
      </c>
      <c r="B39" s="394">
        <v>2019</v>
      </c>
      <c r="C39" s="395" t="s">
        <v>582</v>
      </c>
      <c r="D39" s="394" t="s">
        <v>603</v>
      </c>
      <c r="E39" s="399">
        <v>3089.92</v>
      </c>
      <c r="F39" s="396">
        <v>0.22458547498208575</v>
      </c>
      <c r="G39" s="394">
        <f t="shared" si="6"/>
        <v>1669.76</v>
      </c>
      <c r="H39" s="396">
        <f t="shared" si="5"/>
        <v>0.12136360899508319</v>
      </c>
      <c r="I39" s="394">
        <v>1420.16</v>
      </c>
      <c r="J39" s="394">
        <v>70</v>
      </c>
      <c r="K39" s="394">
        <v>109</v>
      </c>
      <c r="L39" s="394">
        <v>79</v>
      </c>
      <c r="M39" s="394">
        <v>15</v>
      </c>
      <c r="N39" s="397">
        <v>6.5543485700000002</v>
      </c>
      <c r="O39" s="394">
        <f t="shared" si="7"/>
        <v>258</v>
      </c>
      <c r="P39" s="400" t="s">
        <v>604</v>
      </c>
      <c r="S39"/>
    </row>
    <row r="40" spans="1:19" s="285" customFormat="1" ht="15.75" x14ac:dyDescent="0.25">
      <c r="A40" s="387" t="s">
        <v>573</v>
      </c>
      <c r="B40" s="388"/>
      <c r="C40" s="389"/>
      <c r="D40" s="388"/>
      <c r="E40" s="388">
        <f>SUM(E32:E39)</f>
        <v>17948.697894639998</v>
      </c>
      <c r="F40" s="388"/>
      <c r="G40" s="388">
        <f>SUM(G32:G39)</f>
        <v>9826.0878946399989</v>
      </c>
      <c r="H40" s="388"/>
      <c r="I40" s="388">
        <f t="shared" ref="I40:M40" si="8">SUM(I32:I39)</f>
        <v>8122.61</v>
      </c>
      <c r="J40" s="388">
        <f t="shared" si="8"/>
        <v>1466</v>
      </c>
      <c r="K40" s="388">
        <f t="shared" si="8"/>
        <v>427</v>
      </c>
      <c r="L40" s="388">
        <f t="shared" si="8"/>
        <v>166</v>
      </c>
      <c r="M40" s="388">
        <f t="shared" si="8"/>
        <v>66</v>
      </c>
      <c r="N40" s="390">
        <f>SUM(N32:N39)</f>
        <v>32.742761019999996</v>
      </c>
      <c r="O40" s="388">
        <f>SUM(O32:O39)</f>
        <v>2059</v>
      </c>
      <c r="P40" s="393"/>
      <c r="S40"/>
    </row>
    <row r="41" spans="1:19" ht="15.75" x14ac:dyDescent="0.25">
      <c r="A41" s="394">
        <v>32</v>
      </c>
      <c r="B41" s="394">
        <v>2020</v>
      </c>
      <c r="C41" s="401" t="s">
        <v>566</v>
      </c>
      <c r="D41" s="401" t="s">
        <v>567</v>
      </c>
      <c r="E41" s="394"/>
      <c r="F41" s="396"/>
      <c r="G41" s="394"/>
      <c r="H41" s="396"/>
      <c r="I41" s="394">
        <v>1082.7</v>
      </c>
      <c r="J41" s="402">
        <v>170</v>
      </c>
      <c r="K41" s="402">
        <v>26</v>
      </c>
      <c r="L41" s="394">
        <v>11</v>
      </c>
      <c r="M41" s="394">
        <v>5</v>
      </c>
      <c r="N41" s="477">
        <v>3.8584995800000002</v>
      </c>
      <c r="O41" s="394">
        <f>SUM(J41:L41)</f>
        <v>207</v>
      </c>
      <c r="P41" s="403" t="s">
        <v>680</v>
      </c>
    </row>
    <row r="42" spans="1:19" ht="15.75" x14ac:dyDescent="0.25">
      <c r="A42" s="394">
        <v>33</v>
      </c>
      <c r="B42" s="394">
        <v>2020</v>
      </c>
      <c r="C42" s="401" t="s">
        <v>566</v>
      </c>
      <c r="D42" s="401" t="s">
        <v>568</v>
      </c>
      <c r="E42" s="399"/>
      <c r="F42" s="396"/>
      <c r="G42" s="394"/>
      <c r="H42" s="396"/>
      <c r="I42" s="394">
        <v>1552.04</v>
      </c>
      <c r="J42" s="402">
        <v>32</v>
      </c>
      <c r="K42" s="402">
        <v>20</v>
      </c>
      <c r="L42" s="394">
        <f>8+2</f>
        <v>10</v>
      </c>
      <c r="M42" s="394">
        <v>2</v>
      </c>
      <c r="N42" s="479"/>
      <c r="O42" s="394">
        <f t="shared" ref="O42:O43" si="9">SUM(J42:L42)</f>
        <v>62</v>
      </c>
      <c r="P42" s="403" t="s">
        <v>681</v>
      </c>
    </row>
    <row r="43" spans="1:19" ht="15.75" x14ac:dyDescent="0.25">
      <c r="A43" s="394">
        <v>34</v>
      </c>
      <c r="B43" s="394">
        <v>2020</v>
      </c>
      <c r="C43" s="401" t="s">
        <v>566</v>
      </c>
      <c r="D43" s="401" t="s">
        <v>581</v>
      </c>
      <c r="E43" s="399"/>
      <c r="F43" s="396"/>
      <c r="G43" s="394"/>
      <c r="H43" s="396"/>
      <c r="I43" s="394">
        <v>97</v>
      </c>
      <c r="J43" s="402">
        <v>7</v>
      </c>
      <c r="K43" s="402">
        <v>8</v>
      </c>
      <c r="L43" s="394">
        <v>2</v>
      </c>
      <c r="M43" s="394">
        <v>1</v>
      </c>
      <c r="N43" s="478"/>
      <c r="O43" s="394">
        <f t="shared" si="9"/>
        <v>17</v>
      </c>
      <c r="P43" s="404" t="s">
        <v>682</v>
      </c>
    </row>
    <row r="44" spans="1:19" ht="15.75" x14ac:dyDescent="0.25">
      <c r="A44" s="394">
        <v>35</v>
      </c>
      <c r="B44" s="394">
        <v>2020</v>
      </c>
      <c r="C44" s="401" t="s">
        <v>572</v>
      </c>
      <c r="D44" s="401" t="s">
        <v>683</v>
      </c>
      <c r="E44" s="399"/>
      <c r="F44" s="396"/>
      <c r="G44" s="394"/>
      <c r="H44" s="396"/>
      <c r="I44" s="394">
        <v>2473.46</v>
      </c>
      <c r="J44" s="402">
        <v>337</v>
      </c>
      <c r="K44" s="402">
        <v>221</v>
      </c>
      <c r="L44" s="394">
        <v>64</v>
      </c>
      <c r="M44" s="394">
        <v>15</v>
      </c>
      <c r="N44" s="477">
        <v>12.14569706</v>
      </c>
      <c r="O44" s="394">
        <f>SUM(J44:L44)</f>
        <v>622</v>
      </c>
      <c r="P44" s="403" t="s">
        <v>684</v>
      </c>
    </row>
    <row r="45" spans="1:19" ht="31.5" x14ac:dyDescent="0.25">
      <c r="A45" s="394">
        <v>36</v>
      </c>
      <c r="B45" s="394">
        <v>2020</v>
      </c>
      <c r="C45" s="401" t="s">
        <v>572</v>
      </c>
      <c r="D45" s="401" t="s">
        <v>674</v>
      </c>
      <c r="E45" s="399"/>
      <c r="F45" s="396"/>
      <c r="G45" s="394"/>
      <c r="H45" s="396"/>
      <c r="I45" s="394">
        <v>1543.3</v>
      </c>
      <c r="J45" s="402">
        <v>11</v>
      </c>
      <c r="K45" s="402">
        <v>182</v>
      </c>
      <c r="L45" s="394">
        <v>12</v>
      </c>
      <c r="M45" s="394">
        <v>8</v>
      </c>
      <c r="N45" s="478"/>
      <c r="O45" s="394">
        <f t="shared" ref="O45:O49" si="10">SUM(J45:L45)</f>
        <v>205</v>
      </c>
      <c r="P45" s="403" t="s">
        <v>685</v>
      </c>
    </row>
    <row r="46" spans="1:19" ht="31.5" x14ac:dyDescent="0.25">
      <c r="A46" s="394">
        <v>37</v>
      </c>
      <c r="B46" s="394">
        <v>2020</v>
      </c>
      <c r="C46" s="401" t="s">
        <v>569</v>
      </c>
      <c r="D46" s="401" t="s">
        <v>686</v>
      </c>
      <c r="E46" s="399"/>
      <c r="F46" s="396"/>
      <c r="G46" s="394"/>
      <c r="H46" s="396"/>
      <c r="I46" s="394">
        <v>1108.0999999999999</v>
      </c>
      <c r="J46" s="394">
        <v>96</v>
      </c>
      <c r="K46" s="394">
        <v>429</v>
      </c>
      <c r="L46" s="394">
        <v>65</v>
      </c>
      <c r="M46" s="394">
        <v>15</v>
      </c>
      <c r="N46" s="397">
        <v>9.3681697499999999</v>
      </c>
      <c r="O46" s="394">
        <f t="shared" si="10"/>
        <v>590</v>
      </c>
      <c r="P46" s="403" t="s">
        <v>687</v>
      </c>
    </row>
    <row r="47" spans="1:19" ht="31.5" x14ac:dyDescent="0.25">
      <c r="A47" s="394">
        <v>38</v>
      </c>
      <c r="B47" s="394">
        <v>2020</v>
      </c>
      <c r="C47" s="401" t="s">
        <v>575</v>
      </c>
      <c r="D47" s="401" t="s">
        <v>576</v>
      </c>
      <c r="E47" s="399"/>
      <c r="F47" s="396"/>
      <c r="G47" s="394"/>
      <c r="H47" s="396"/>
      <c r="I47" s="394">
        <v>176.3</v>
      </c>
      <c r="J47" s="394">
        <v>273</v>
      </c>
      <c r="K47" s="394">
        <v>52</v>
      </c>
      <c r="L47" s="394">
        <v>24</v>
      </c>
      <c r="M47" s="394">
        <v>12</v>
      </c>
      <c r="N47" s="397">
        <v>5.9172026500000001</v>
      </c>
      <c r="O47" s="394">
        <f t="shared" si="10"/>
        <v>349</v>
      </c>
      <c r="P47" s="405" t="s">
        <v>688</v>
      </c>
    </row>
    <row r="48" spans="1:19" ht="31.5" x14ac:dyDescent="0.25">
      <c r="A48" s="394">
        <v>39</v>
      </c>
      <c r="B48" s="394">
        <v>2020</v>
      </c>
      <c r="C48" s="401" t="s">
        <v>613</v>
      </c>
      <c r="D48" s="401" t="s">
        <v>689</v>
      </c>
      <c r="E48" s="399"/>
      <c r="F48" s="396"/>
      <c r="G48" s="394"/>
      <c r="H48" s="396"/>
      <c r="I48" s="394">
        <v>301.5</v>
      </c>
      <c r="J48" s="394">
        <v>83</v>
      </c>
      <c r="K48" s="394">
        <v>43</v>
      </c>
      <c r="L48" s="394">
        <v>4</v>
      </c>
      <c r="M48" s="394">
        <v>1</v>
      </c>
      <c r="N48" s="397">
        <v>1.5086742200000001</v>
      </c>
      <c r="O48" s="394">
        <f t="shared" si="10"/>
        <v>130</v>
      </c>
      <c r="P48" s="405" t="s">
        <v>690</v>
      </c>
    </row>
    <row r="49" spans="1:19" ht="15.75" x14ac:dyDescent="0.25">
      <c r="A49" s="394">
        <v>40</v>
      </c>
      <c r="B49" s="394">
        <v>2020</v>
      </c>
      <c r="C49" s="401" t="s">
        <v>754</v>
      </c>
      <c r="D49" s="401" t="s">
        <v>755</v>
      </c>
      <c r="E49" s="399"/>
      <c r="F49" s="396"/>
      <c r="G49" s="394"/>
      <c r="H49" s="396"/>
      <c r="I49" s="394"/>
      <c r="J49" s="394">
        <v>18</v>
      </c>
      <c r="K49" s="394">
        <v>34</v>
      </c>
      <c r="L49" s="394">
        <v>18</v>
      </c>
      <c r="M49" s="394">
        <v>9</v>
      </c>
      <c r="N49" s="397">
        <v>0.93598859000000001</v>
      </c>
      <c r="O49" s="394">
        <f t="shared" si="10"/>
        <v>70</v>
      </c>
      <c r="P49" s="405"/>
    </row>
    <row r="50" spans="1:19" ht="15.75" x14ac:dyDescent="0.25">
      <c r="A50" s="394">
        <v>41</v>
      </c>
      <c r="B50" s="394">
        <v>2020</v>
      </c>
      <c r="C50" s="406" t="s">
        <v>691</v>
      </c>
      <c r="D50" s="401" t="s">
        <v>692</v>
      </c>
      <c r="E50" s="394"/>
      <c r="F50" s="396"/>
      <c r="G50" s="394"/>
      <c r="H50" s="396"/>
      <c r="I50" s="394">
        <v>101</v>
      </c>
      <c r="J50" s="394">
        <v>207</v>
      </c>
      <c r="K50" s="394">
        <v>73</v>
      </c>
      <c r="L50" s="394">
        <v>6</v>
      </c>
      <c r="M50" s="394">
        <v>4</v>
      </c>
      <c r="N50" s="397">
        <v>3.5769270199999998</v>
      </c>
      <c r="O50" s="394">
        <f>SUM(J50:L50)</f>
        <v>286</v>
      </c>
      <c r="P50" s="405" t="s">
        <v>693</v>
      </c>
    </row>
    <row r="51" spans="1:19" s="381" customFormat="1" ht="15.75" x14ac:dyDescent="0.25">
      <c r="A51" s="407"/>
      <c r="B51" s="408"/>
      <c r="C51" s="409" t="s">
        <v>679</v>
      </c>
      <c r="D51" s="408"/>
      <c r="E51" s="410">
        <f>SUM(E41:E50)</f>
        <v>0</v>
      </c>
      <c r="F51" s="408"/>
      <c r="G51" s="408">
        <f>SUM(G41:G50)</f>
        <v>0</v>
      </c>
      <c r="H51" s="408"/>
      <c r="I51" s="411">
        <f t="shared" ref="I51:O51" si="11">SUM(I41:I50)</f>
        <v>8435.4000000000015</v>
      </c>
      <c r="J51" s="412">
        <f t="shared" si="11"/>
        <v>1234</v>
      </c>
      <c r="K51" s="413">
        <f t="shared" si="11"/>
        <v>1088</v>
      </c>
      <c r="L51" s="413">
        <f t="shared" si="11"/>
        <v>216</v>
      </c>
      <c r="M51" s="413">
        <f t="shared" si="11"/>
        <v>72</v>
      </c>
      <c r="N51" s="414">
        <f t="shared" si="11"/>
        <v>37.31115887</v>
      </c>
      <c r="O51" s="415">
        <f t="shared" si="11"/>
        <v>2538</v>
      </c>
      <c r="P51" s="410"/>
    </row>
    <row r="52" spans="1:19" ht="31.5" x14ac:dyDescent="0.25">
      <c r="A52" s="404">
        <v>42</v>
      </c>
      <c r="B52" s="394">
        <v>2020</v>
      </c>
      <c r="C52" s="416" t="s">
        <v>663</v>
      </c>
      <c r="D52" s="404" t="s">
        <v>664</v>
      </c>
      <c r="E52" s="417">
        <v>2405564.9824170023</v>
      </c>
      <c r="F52" s="418"/>
      <c r="G52" s="418"/>
      <c r="H52" s="418"/>
      <c r="I52" s="419">
        <v>126.3</v>
      </c>
      <c r="J52" s="419">
        <v>416</v>
      </c>
      <c r="K52" s="419">
        <v>70</v>
      </c>
      <c r="L52" s="419">
        <v>10</v>
      </c>
      <c r="M52" s="419">
        <v>0</v>
      </c>
      <c r="N52" s="420">
        <v>5.7898535200000003</v>
      </c>
      <c r="O52" s="404">
        <f>J52+K52+L52+M52</f>
        <v>496</v>
      </c>
      <c r="P52" s="403" t="s">
        <v>665</v>
      </c>
    </row>
    <row r="53" spans="1:19" ht="21" customHeight="1" x14ac:dyDescent="0.25">
      <c r="A53" s="404">
        <v>43</v>
      </c>
      <c r="B53" s="394">
        <v>2020</v>
      </c>
      <c r="C53" s="416" t="s">
        <v>666</v>
      </c>
      <c r="D53" s="404" t="s">
        <v>667</v>
      </c>
      <c r="E53" s="417">
        <v>1900947.5714803501</v>
      </c>
      <c r="F53" s="418"/>
      <c r="G53" s="418"/>
      <c r="H53" s="418"/>
      <c r="I53" s="419">
        <v>919.4</v>
      </c>
      <c r="J53" s="419">
        <v>345</v>
      </c>
      <c r="K53" s="419">
        <v>311</v>
      </c>
      <c r="L53" s="419">
        <v>7</v>
      </c>
      <c r="M53" s="419">
        <v>13</v>
      </c>
      <c r="N53" s="420">
        <v>11.550924589999999</v>
      </c>
      <c r="O53" s="404">
        <f t="shared" ref="O53:O56" si="12">J53+K53+L53+M53</f>
        <v>676</v>
      </c>
      <c r="P53" s="404" t="s">
        <v>668</v>
      </c>
    </row>
    <row r="54" spans="1:19" ht="31.5" x14ac:dyDescent="0.25">
      <c r="A54" s="404">
        <v>44</v>
      </c>
      <c r="B54" s="394">
        <v>2020</v>
      </c>
      <c r="C54" s="416" t="s">
        <v>666</v>
      </c>
      <c r="D54" s="404" t="s">
        <v>669</v>
      </c>
      <c r="E54" s="417">
        <v>1200265.0013919999</v>
      </c>
      <c r="F54" s="421"/>
      <c r="G54" s="418"/>
      <c r="H54" s="418"/>
      <c r="I54" s="419">
        <v>1555.1</v>
      </c>
      <c r="J54" s="419">
        <v>245</v>
      </c>
      <c r="K54" s="419">
        <v>206</v>
      </c>
      <c r="L54" s="419">
        <v>31</v>
      </c>
      <c r="M54" s="419">
        <v>11</v>
      </c>
      <c r="N54" s="420">
        <v>8.24401911</v>
      </c>
      <c r="O54" s="404">
        <f t="shared" si="12"/>
        <v>493</v>
      </c>
      <c r="P54" s="403" t="s">
        <v>670</v>
      </c>
    </row>
    <row r="55" spans="1:19" ht="31.5" x14ac:dyDescent="0.25">
      <c r="A55" s="404">
        <v>45</v>
      </c>
      <c r="B55" s="394">
        <v>2020</v>
      </c>
      <c r="C55" s="416" t="s">
        <v>671</v>
      </c>
      <c r="D55" s="404" t="s">
        <v>672</v>
      </c>
      <c r="E55" s="417">
        <v>517000</v>
      </c>
      <c r="F55" s="418"/>
      <c r="G55" s="418"/>
      <c r="H55" s="418"/>
      <c r="I55" s="419">
        <v>187</v>
      </c>
      <c r="J55" s="419">
        <v>270</v>
      </c>
      <c r="K55" s="419">
        <v>135</v>
      </c>
      <c r="L55" s="419">
        <v>37</v>
      </c>
      <c r="M55" s="419">
        <v>11</v>
      </c>
      <c r="N55" s="420">
        <v>6.86526382</v>
      </c>
      <c r="O55" s="404">
        <f t="shared" si="12"/>
        <v>453</v>
      </c>
      <c r="P55" s="403" t="s">
        <v>673</v>
      </c>
    </row>
    <row r="56" spans="1:19" ht="31.5" x14ac:dyDescent="0.25">
      <c r="A56" s="404">
        <v>46</v>
      </c>
      <c r="B56" s="394">
        <v>2020</v>
      </c>
      <c r="C56" s="416" t="s">
        <v>671</v>
      </c>
      <c r="D56" s="404" t="s">
        <v>674</v>
      </c>
      <c r="E56" s="417">
        <v>374000</v>
      </c>
      <c r="F56" s="418"/>
      <c r="G56" s="418"/>
      <c r="H56" s="418"/>
      <c r="I56" s="419">
        <v>2120</v>
      </c>
      <c r="J56" s="419">
        <v>260</v>
      </c>
      <c r="K56" s="419">
        <v>436</v>
      </c>
      <c r="L56" s="419">
        <v>24</v>
      </c>
      <c r="M56" s="419">
        <v>14</v>
      </c>
      <c r="N56" s="420">
        <v>13.734425870000001</v>
      </c>
      <c r="O56" s="404">
        <f t="shared" si="12"/>
        <v>734</v>
      </c>
      <c r="P56" s="403" t="s">
        <v>675</v>
      </c>
    </row>
    <row r="57" spans="1:19" ht="47.25" x14ac:dyDescent="0.25">
      <c r="A57" s="404">
        <v>47</v>
      </c>
      <c r="B57" s="394">
        <v>2020</v>
      </c>
      <c r="C57" s="416" t="s">
        <v>676</v>
      </c>
      <c r="D57" s="404" t="s">
        <v>677</v>
      </c>
      <c r="E57" s="417">
        <v>1466474.7288639974</v>
      </c>
      <c r="F57" s="418"/>
      <c r="G57" s="418"/>
      <c r="H57" s="418"/>
      <c r="I57" s="419">
        <v>657.5</v>
      </c>
      <c r="J57" s="419">
        <v>768</v>
      </c>
      <c r="K57" s="419">
        <v>84</v>
      </c>
      <c r="L57" s="419">
        <v>24</v>
      </c>
      <c r="M57" s="419">
        <v>20</v>
      </c>
      <c r="N57" s="420">
        <v>13.827642409999999</v>
      </c>
      <c r="O57" s="404">
        <f>J57+K57+L57+M57</f>
        <v>896</v>
      </c>
      <c r="P57" s="403" t="s">
        <v>678</v>
      </c>
    </row>
    <row r="58" spans="1:19" s="381" customFormat="1" ht="15.75" x14ac:dyDescent="0.25">
      <c r="A58" s="374"/>
      <c r="B58" s="375"/>
      <c r="C58" s="376" t="s">
        <v>679</v>
      </c>
      <c r="D58" s="375"/>
      <c r="E58" s="377">
        <f>SUM(E52:E57)</f>
        <v>7864252.2841533497</v>
      </c>
      <c r="F58" s="375"/>
      <c r="G58" s="375"/>
      <c r="H58" s="375"/>
      <c r="I58" s="422">
        <f>SUM(I52:I57)</f>
        <v>5565.3</v>
      </c>
      <c r="J58" s="423">
        <f>SUM(J52:J57)</f>
        <v>2304</v>
      </c>
      <c r="K58" s="378">
        <f t="shared" ref="K58:M58" si="13">SUM(K52:K57)</f>
        <v>1242</v>
      </c>
      <c r="L58" s="378">
        <f t="shared" si="13"/>
        <v>133</v>
      </c>
      <c r="M58" s="378">
        <f t="shared" si="13"/>
        <v>69</v>
      </c>
      <c r="N58" s="379">
        <f>SUM(N52:N57)</f>
        <v>60.01212932</v>
      </c>
      <c r="O58" s="380">
        <f>SUM(O52:O57)</f>
        <v>3748</v>
      </c>
      <c r="P58" s="377"/>
    </row>
    <row r="59" spans="1:19" s="285" customFormat="1" ht="15.75" x14ac:dyDescent="0.25">
      <c r="A59" s="387" t="s">
        <v>583</v>
      </c>
      <c r="B59" s="388"/>
      <c r="C59" s="424"/>
      <c r="D59" s="388"/>
      <c r="E59" s="388"/>
      <c r="F59" s="388"/>
      <c r="G59" s="388">
        <f>SUM(G51:G58)</f>
        <v>0</v>
      </c>
      <c r="H59" s="425"/>
      <c r="I59" s="426">
        <f>I58+I51</f>
        <v>14000.7</v>
      </c>
      <c r="J59" s="427">
        <f t="shared" ref="J59:O59" si="14">J58+J51</f>
        <v>3538</v>
      </c>
      <c r="K59" s="427">
        <f t="shared" si="14"/>
        <v>2330</v>
      </c>
      <c r="L59" s="427">
        <f t="shared" si="14"/>
        <v>349</v>
      </c>
      <c r="M59" s="427">
        <f t="shared" si="14"/>
        <v>141</v>
      </c>
      <c r="N59" s="390">
        <f t="shared" si="14"/>
        <v>97.32328819</v>
      </c>
      <c r="O59" s="427">
        <f t="shared" si="14"/>
        <v>6286</v>
      </c>
      <c r="P59" s="428"/>
      <c r="S59"/>
    </row>
    <row r="60" spans="1:19" ht="30" x14ac:dyDescent="0.25">
      <c r="A60" s="394">
        <v>48</v>
      </c>
      <c r="B60" s="394">
        <v>2021</v>
      </c>
      <c r="C60" s="395" t="s">
        <v>572</v>
      </c>
      <c r="D60" s="429" t="s">
        <v>756</v>
      </c>
      <c r="E60" s="399">
        <v>540.98</v>
      </c>
      <c r="F60" s="396">
        <v>9.5378519504923112E-2</v>
      </c>
      <c r="G60" s="394">
        <f t="shared" ref="G60" si="15">E60-I60</f>
        <v>508.75</v>
      </c>
      <c r="H60" s="396">
        <f>G60*F60/E60</f>
        <v>8.9696147358737169E-2</v>
      </c>
      <c r="I60" s="394">
        <v>32.229999999999997</v>
      </c>
      <c r="J60" s="394">
        <v>120</v>
      </c>
      <c r="K60" s="394">
        <v>45</v>
      </c>
      <c r="L60" s="394">
        <v>3</v>
      </c>
      <c r="M60" s="394">
        <v>2</v>
      </c>
      <c r="N60" s="397">
        <v>2.1585830100000001</v>
      </c>
      <c r="O60" s="394">
        <f>SUM(J60:L60)</f>
        <v>168</v>
      </c>
      <c r="P60" s="398" t="s">
        <v>584</v>
      </c>
    </row>
    <row r="61" spans="1:19" s="285" customFormat="1" ht="15.75" x14ac:dyDescent="0.25">
      <c r="A61" s="387" t="s">
        <v>585</v>
      </c>
      <c r="B61" s="428"/>
      <c r="C61" s="388"/>
      <c r="D61" s="388"/>
      <c r="E61" s="430">
        <f>SUM(E60)</f>
        <v>540.98</v>
      </c>
      <c r="F61" s="388"/>
      <c r="G61" s="430">
        <f>SUM(G60)</f>
        <v>508.75</v>
      </c>
      <c r="H61" s="388"/>
      <c r="I61" s="388">
        <v>32.229999999999997</v>
      </c>
      <c r="J61" s="388">
        <v>120</v>
      </c>
      <c r="K61" s="388">
        <v>45</v>
      </c>
      <c r="L61" s="388">
        <v>3</v>
      </c>
      <c r="M61" s="388">
        <v>2</v>
      </c>
      <c r="N61" s="390">
        <f>SUM(N60)</f>
        <v>2.1585830100000001</v>
      </c>
      <c r="O61" s="388">
        <f t="shared" ref="O61" si="16">SUM(J61:L61)</f>
        <v>168</v>
      </c>
      <c r="P61" s="393"/>
    </row>
    <row r="62" spans="1:19" x14ac:dyDescent="0.25">
      <c r="A62" s="400"/>
      <c r="B62" s="400"/>
      <c r="C62" s="400"/>
      <c r="D62" s="400"/>
      <c r="E62" s="400"/>
      <c r="F62" s="400"/>
      <c r="G62" s="400"/>
      <c r="H62" s="400"/>
      <c r="I62" s="400"/>
      <c r="J62" s="400"/>
      <c r="K62" s="400"/>
      <c r="L62" s="400"/>
      <c r="M62" s="400"/>
      <c r="N62" s="431"/>
      <c r="O62" s="400"/>
      <c r="P62" s="400"/>
    </row>
    <row r="63" spans="1:19" s="285" customFormat="1" ht="15.75" x14ac:dyDescent="0.25">
      <c r="A63" s="387" t="s">
        <v>610</v>
      </c>
      <c r="B63" s="428"/>
      <c r="C63" s="388"/>
      <c r="D63" s="388"/>
      <c r="E63" s="430">
        <f>E15+E19+E24+E29+E31+E61+E59+E40</f>
        <v>18489.677894639997</v>
      </c>
      <c r="F63" s="388"/>
      <c r="G63" s="430">
        <f>G15+G19+G24+G29+G31+G61+G59+G40</f>
        <v>10334.837894639999</v>
      </c>
      <c r="H63" s="390"/>
      <c r="I63" s="390">
        <f>I15+I19+I24+I29+I31+I61+I59+I40</f>
        <v>37721.695</v>
      </c>
      <c r="J63" s="427">
        <f>J15+J19+J24+J29+J31+J61+J59+J40</f>
        <v>7683</v>
      </c>
      <c r="K63" s="427">
        <f>K15+K19+K24+K29+K31+K61+K59+K40</f>
        <v>3583</v>
      </c>
      <c r="L63" s="427">
        <f>L15+L19+L24+L29+L31+L61+L59+L40</f>
        <v>1712</v>
      </c>
      <c r="M63" s="427">
        <f>M15+M19+M24+M29+M31+M61+M59+M40</f>
        <v>317</v>
      </c>
      <c r="N63" s="390">
        <f>N15+N19+N24+N29+N31+N40+N59+N61</f>
        <v>230.85420028999999</v>
      </c>
      <c r="O63" s="427">
        <f>O15+O19+O24+O29+O31+O61+O59+O40</f>
        <v>13047</v>
      </c>
      <c r="P63" s="393"/>
    </row>
    <row r="65" spans="6:15" x14ac:dyDescent="0.25">
      <c r="N65" s="265" t="s">
        <v>586</v>
      </c>
      <c r="O65" s="266">
        <f>ROUND(N63/O63*1000,3)</f>
        <v>17.693999999999999</v>
      </c>
    </row>
    <row r="66" spans="6:15" x14ac:dyDescent="0.25">
      <c r="F66" s="267"/>
    </row>
  </sheetData>
  <autoFilter ref="A3:P65"/>
  <mergeCells count="3">
    <mergeCell ref="N44:N45"/>
    <mergeCell ref="N41:N43"/>
    <mergeCell ref="N37:N38"/>
  </mergeCells>
  <pageMargins left="0.70866141732283472" right="0.70866141732283472" top="0.74803149606299213" bottom="0.74803149606299213" header="0.31496062992125984" footer="0.31496062992125984"/>
  <pageSetup paperSize="9" scale="5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E35" sqref="E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66</v>
      </c>
    </row>
    <row r="2" spans="1:28" ht="18.75" x14ac:dyDescent="0.3">
      <c r="Z2" s="15" t="s">
        <v>8</v>
      </c>
    </row>
    <row r="3" spans="1:28" ht="18.75" x14ac:dyDescent="0.3">
      <c r="Z3" s="15" t="s">
        <v>65</v>
      </c>
    </row>
    <row r="4" spans="1:28" ht="18.75" customHeight="1" x14ac:dyDescent="0.25">
      <c r="A4" s="435" t="str">
        <f>'1. паспорт местоположение'!A5:C5</f>
        <v>Год раскрытия информации: 2022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row>
    <row r="6" spans="1:28" ht="18.75" x14ac:dyDescent="0.25">
      <c r="A6" s="443" t="s">
        <v>7</v>
      </c>
      <c r="B6" s="443"/>
      <c r="C6" s="443"/>
      <c r="D6" s="443"/>
      <c r="E6" s="443"/>
      <c r="F6" s="443"/>
      <c r="G6" s="443"/>
      <c r="H6" s="443"/>
      <c r="I6" s="443"/>
      <c r="J6" s="443"/>
      <c r="K6" s="443"/>
      <c r="L6" s="443"/>
      <c r="M6" s="443"/>
      <c r="N6" s="443"/>
      <c r="O6" s="443"/>
      <c r="P6" s="443"/>
      <c r="Q6" s="443"/>
      <c r="R6" s="443"/>
      <c r="S6" s="443"/>
      <c r="T6" s="443"/>
      <c r="U6" s="443"/>
      <c r="V6" s="443"/>
      <c r="W6" s="443"/>
      <c r="X6" s="443"/>
      <c r="Y6" s="443"/>
      <c r="Z6" s="443"/>
      <c r="AA6" s="144"/>
      <c r="AB6" s="144"/>
    </row>
    <row r="7" spans="1:28" ht="18.75" x14ac:dyDescent="0.25">
      <c r="A7" s="443"/>
      <c r="B7" s="443"/>
      <c r="C7" s="443"/>
      <c r="D7" s="443"/>
      <c r="E7" s="443"/>
      <c r="F7" s="443"/>
      <c r="G7" s="443"/>
      <c r="H7" s="443"/>
      <c r="I7" s="443"/>
      <c r="J7" s="443"/>
      <c r="K7" s="443"/>
      <c r="L7" s="443"/>
      <c r="M7" s="443"/>
      <c r="N7" s="443"/>
      <c r="O7" s="443"/>
      <c r="P7" s="443"/>
      <c r="Q7" s="443"/>
      <c r="R7" s="443"/>
      <c r="S7" s="443"/>
      <c r="T7" s="443"/>
      <c r="U7" s="443"/>
      <c r="V7" s="443"/>
      <c r="W7" s="443"/>
      <c r="X7" s="443"/>
      <c r="Y7" s="443"/>
      <c r="Z7" s="443"/>
      <c r="AA7" s="144"/>
      <c r="AB7" s="144"/>
    </row>
    <row r="8" spans="1:28" x14ac:dyDescent="0.25">
      <c r="A8" s="444" t="str">
        <f>'1. паспорт местоположение'!A9</f>
        <v>Акционерное общество "Янтарьэнерго" ДЗО  ПАО "Россети"</v>
      </c>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145"/>
      <c r="AB8" s="145"/>
    </row>
    <row r="9" spans="1:28" ht="15.75" x14ac:dyDescent="0.25">
      <c r="A9" s="448" t="s">
        <v>6</v>
      </c>
      <c r="B9" s="448"/>
      <c r="C9" s="448"/>
      <c r="D9" s="448"/>
      <c r="E9" s="448"/>
      <c r="F9" s="448"/>
      <c r="G9" s="448"/>
      <c r="H9" s="448"/>
      <c r="I9" s="448"/>
      <c r="J9" s="448"/>
      <c r="K9" s="448"/>
      <c r="L9" s="448"/>
      <c r="M9" s="448"/>
      <c r="N9" s="448"/>
      <c r="O9" s="448"/>
      <c r="P9" s="448"/>
      <c r="Q9" s="448"/>
      <c r="R9" s="448"/>
      <c r="S9" s="448"/>
      <c r="T9" s="448"/>
      <c r="U9" s="448"/>
      <c r="V9" s="448"/>
      <c r="W9" s="448"/>
      <c r="X9" s="448"/>
      <c r="Y9" s="448"/>
      <c r="Z9" s="448"/>
      <c r="AA9" s="146"/>
      <c r="AB9" s="146"/>
    </row>
    <row r="10" spans="1:28" ht="18.75" x14ac:dyDescent="0.25">
      <c r="A10" s="443"/>
      <c r="B10" s="443"/>
      <c r="C10" s="443"/>
      <c r="D10" s="443"/>
      <c r="E10" s="443"/>
      <c r="F10" s="443"/>
      <c r="G10" s="443"/>
      <c r="H10" s="443"/>
      <c r="I10" s="443"/>
      <c r="J10" s="443"/>
      <c r="K10" s="443"/>
      <c r="L10" s="443"/>
      <c r="M10" s="443"/>
      <c r="N10" s="443"/>
      <c r="O10" s="443"/>
      <c r="P10" s="443"/>
      <c r="Q10" s="443"/>
      <c r="R10" s="443"/>
      <c r="S10" s="443"/>
      <c r="T10" s="443"/>
      <c r="U10" s="443"/>
      <c r="V10" s="443"/>
      <c r="W10" s="443"/>
      <c r="X10" s="443"/>
      <c r="Y10" s="443"/>
      <c r="Z10" s="443"/>
      <c r="AA10" s="144"/>
      <c r="AB10" s="144"/>
    </row>
    <row r="11" spans="1:28" x14ac:dyDescent="0.25">
      <c r="A11" s="444" t="str">
        <f>'1. паспорт местоположение'!A12:C12</f>
        <v>F_48-НН</v>
      </c>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145"/>
      <c r="AB11" s="145"/>
    </row>
    <row r="12" spans="1:28" ht="15.75" x14ac:dyDescent="0.25">
      <c r="A12" s="448" t="s">
        <v>5</v>
      </c>
      <c r="B12" s="448"/>
      <c r="C12" s="448"/>
      <c r="D12" s="448"/>
      <c r="E12" s="448"/>
      <c r="F12" s="448"/>
      <c r="G12" s="448"/>
      <c r="H12" s="448"/>
      <c r="I12" s="448"/>
      <c r="J12" s="448"/>
      <c r="K12" s="448"/>
      <c r="L12" s="448"/>
      <c r="M12" s="448"/>
      <c r="N12" s="448"/>
      <c r="O12" s="448"/>
      <c r="P12" s="448"/>
      <c r="Q12" s="448"/>
      <c r="R12" s="448"/>
      <c r="S12" s="448"/>
      <c r="T12" s="448"/>
      <c r="U12" s="448"/>
      <c r="V12" s="448"/>
      <c r="W12" s="448"/>
      <c r="X12" s="448"/>
      <c r="Y12" s="448"/>
      <c r="Z12" s="448"/>
      <c r="AA12" s="146"/>
      <c r="AB12" s="146"/>
    </row>
    <row r="13" spans="1:28" ht="18.75" x14ac:dyDescent="0.25">
      <c r="A13" s="449"/>
      <c r="B13" s="449"/>
      <c r="C13" s="449"/>
      <c r="D13" s="449"/>
      <c r="E13" s="449"/>
      <c r="F13" s="449"/>
      <c r="G13" s="449"/>
      <c r="H13" s="449"/>
      <c r="I13" s="449"/>
      <c r="J13" s="449"/>
      <c r="K13" s="449"/>
      <c r="L13" s="449"/>
      <c r="M13" s="449"/>
      <c r="N13" s="449"/>
      <c r="O13" s="449"/>
      <c r="P13" s="449"/>
      <c r="Q13" s="449"/>
      <c r="R13" s="449"/>
      <c r="S13" s="449"/>
      <c r="T13" s="449"/>
      <c r="U13" s="449"/>
      <c r="V13" s="449"/>
      <c r="W13" s="449"/>
      <c r="X13" s="449"/>
      <c r="Y13" s="449"/>
      <c r="Z13" s="449"/>
      <c r="AA13" s="11"/>
      <c r="AB13" s="11"/>
    </row>
    <row r="14" spans="1:28" x14ac:dyDescent="0.25">
      <c r="A14" s="444" t="str">
        <f>'1. паспорт местоположение'!A15</f>
        <v>Организация интеллектуальной системы учета электроэнергии (приобретение компонентов интеллектуальной системы учета, выполнение проектных, строительно-монтажных и пусконаладочных работ по модернизации / созданию интеллектуальной системы учета электроэнергии)</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145"/>
      <c r="AB14" s="145"/>
    </row>
    <row r="15" spans="1:28" ht="15.75" x14ac:dyDescent="0.25">
      <c r="A15" s="448" t="s">
        <v>4</v>
      </c>
      <c r="B15" s="448"/>
      <c r="C15" s="448"/>
      <c r="D15" s="448"/>
      <c r="E15" s="448"/>
      <c r="F15" s="448"/>
      <c r="G15" s="448"/>
      <c r="H15" s="448"/>
      <c r="I15" s="448"/>
      <c r="J15" s="448"/>
      <c r="K15" s="448"/>
      <c r="L15" s="448"/>
      <c r="M15" s="448"/>
      <c r="N15" s="448"/>
      <c r="O15" s="448"/>
      <c r="P15" s="448"/>
      <c r="Q15" s="448"/>
      <c r="R15" s="448"/>
      <c r="S15" s="448"/>
      <c r="T15" s="448"/>
      <c r="U15" s="448"/>
      <c r="V15" s="448"/>
      <c r="W15" s="448"/>
      <c r="X15" s="448"/>
      <c r="Y15" s="448"/>
      <c r="Z15" s="448"/>
      <c r="AA15" s="146"/>
      <c r="AB15" s="146"/>
    </row>
    <row r="16" spans="1:28" x14ac:dyDescent="0.25">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155"/>
      <c r="AB16" s="155"/>
    </row>
    <row r="17" spans="1:28" x14ac:dyDescent="0.25">
      <c r="A17" s="486"/>
      <c r="B17" s="486"/>
      <c r="C17" s="486"/>
      <c r="D17" s="486"/>
      <c r="E17" s="486"/>
      <c r="F17" s="486"/>
      <c r="G17" s="486"/>
      <c r="H17" s="486"/>
      <c r="I17" s="486"/>
      <c r="J17" s="486"/>
      <c r="K17" s="486"/>
      <c r="L17" s="486"/>
      <c r="M17" s="486"/>
      <c r="N17" s="486"/>
      <c r="O17" s="486"/>
      <c r="P17" s="486"/>
      <c r="Q17" s="486"/>
      <c r="R17" s="486"/>
      <c r="S17" s="486"/>
      <c r="T17" s="486"/>
      <c r="U17" s="486"/>
      <c r="V17" s="486"/>
      <c r="W17" s="486"/>
      <c r="X17" s="486"/>
      <c r="Y17" s="486"/>
      <c r="Z17" s="486"/>
      <c r="AA17" s="155"/>
      <c r="AB17" s="155"/>
    </row>
    <row r="18" spans="1:28" x14ac:dyDescent="0.25">
      <c r="A18" s="486"/>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155"/>
      <c r="AB18" s="155"/>
    </row>
    <row r="19" spans="1:28" x14ac:dyDescent="0.25">
      <c r="A19" s="486"/>
      <c r="B19" s="486"/>
      <c r="C19" s="486"/>
      <c r="D19" s="486"/>
      <c r="E19" s="486"/>
      <c r="F19" s="486"/>
      <c r="G19" s="486"/>
      <c r="H19" s="486"/>
      <c r="I19" s="486"/>
      <c r="J19" s="486"/>
      <c r="K19" s="486"/>
      <c r="L19" s="486"/>
      <c r="M19" s="486"/>
      <c r="N19" s="486"/>
      <c r="O19" s="486"/>
      <c r="P19" s="486"/>
      <c r="Q19" s="486"/>
      <c r="R19" s="486"/>
      <c r="S19" s="486"/>
      <c r="T19" s="486"/>
      <c r="U19" s="486"/>
      <c r="V19" s="486"/>
      <c r="W19" s="486"/>
      <c r="X19" s="486"/>
      <c r="Y19" s="486"/>
      <c r="Z19" s="486"/>
      <c r="AA19" s="155"/>
      <c r="AB19" s="155"/>
    </row>
    <row r="20" spans="1:28" x14ac:dyDescent="0.25">
      <c r="A20" s="480"/>
      <c r="B20" s="480"/>
      <c r="C20" s="480"/>
      <c r="D20" s="480"/>
      <c r="E20" s="480"/>
      <c r="F20" s="480"/>
      <c r="G20" s="480"/>
      <c r="H20" s="480"/>
      <c r="I20" s="480"/>
      <c r="J20" s="480"/>
      <c r="K20" s="480"/>
      <c r="L20" s="480"/>
      <c r="M20" s="480"/>
      <c r="N20" s="480"/>
      <c r="O20" s="480"/>
      <c r="P20" s="480"/>
      <c r="Q20" s="480"/>
      <c r="R20" s="480"/>
      <c r="S20" s="480"/>
      <c r="T20" s="480"/>
      <c r="U20" s="480"/>
      <c r="V20" s="480"/>
      <c r="W20" s="480"/>
      <c r="X20" s="480"/>
      <c r="Y20" s="480"/>
      <c r="Z20" s="480"/>
      <c r="AA20" s="156"/>
      <c r="AB20" s="156"/>
    </row>
    <row r="21" spans="1:28" x14ac:dyDescent="0.25">
      <c r="A21" s="480"/>
      <c r="B21" s="480"/>
      <c r="C21" s="480"/>
      <c r="D21" s="480"/>
      <c r="E21" s="480"/>
      <c r="F21" s="480"/>
      <c r="G21" s="480"/>
      <c r="H21" s="480"/>
      <c r="I21" s="480"/>
      <c r="J21" s="480"/>
      <c r="K21" s="480"/>
      <c r="L21" s="480"/>
      <c r="M21" s="480"/>
      <c r="N21" s="480"/>
      <c r="O21" s="480"/>
      <c r="P21" s="480"/>
      <c r="Q21" s="480"/>
      <c r="R21" s="480"/>
      <c r="S21" s="480"/>
      <c r="T21" s="480"/>
      <c r="U21" s="480"/>
      <c r="V21" s="480"/>
      <c r="W21" s="480"/>
      <c r="X21" s="480"/>
      <c r="Y21" s="480"/>
      <c r="Z21" s="480"/>
      <c r="AA21" s="156"/>
      <c r="AB21" s="156"/>
    </row>
    <row r="22" spans="1:28" x14ac:dyDescent="0.25">
      <c r="A22" s="481" t="s">
        <v>509</v>
      </c>
      <c r="B22" s="481"/>
      <c r="C22" s="481"/>
      <c r="D22" s="481"/>
      <c r="E22" s="481"/>
      <c r="F22" s="481"/>
      <c r="G22" s="481"/>
      <c r="H22" s="481"/>
      <c r="I22" s="481"/>
      <c r="J22" s="481"/>
      <c r="K22" s="481"/>
      <c r="L22" s="481"/>
      <c r="M22" s="481"/>
      <c r="N22" s="481"/>
      <c r="O22" s="481"/>
      <c r="P22" s="481"/>
      <c r="Q22" s="481"/>
      <c r="R22" s="481"/>
      <c r="S22" s="481"/>
      <c r="T22" s="481"/>
      <c r="U22" s="481"/>
      <c r="V22" s="481"/>
      <c r="W22" s="481"/>
      <c r="X22" s="481"/>
      <c r="Y22" s="481"/>
      <c r="Z22" s="481"/>
      <c r="AA22" s="157"/>
      <c r="AB22" s="157"/>
    </row>
    <row r="23" spans="1:28" ht="32.25" customHeight="1" x14ac:dyDescent="0.25">
      <c r="A23" s="483" t="s">
        <v>368</v>
      </c>
      <c r="B23" s="484"/>
      <c r="C23" s="484"/>
      <c r="D23" s="484"/>
      <c r="E23" s="484"/>
      <c r="F23" s="484"/>
      <c r="G23" s="484"/>
      <c r="H23" s="484"/>
      <c r="I23" s="484"/>
      <c r="J23" s="484"/>
      <c r="K23" s="484"/>
      <c r="L23" s="485"/>
      <c r="M23" s="482" t="s">
        <v>369</v>
      </c>
      <c r="N23" s="482"/>
      <c r="O23" s="482"/>
      <c r="P23" s="482"/>
      <c r="Q23" s="482"/>
      <c r="R23" s="482"/>
      <c r="S23" s="482"/>
      <c r="T23" s="482"/>
      <c r="U23" s="482"/>
      <c r="V23" s="482"/>
      <c r="W23" s="482"/>
      <c r="X23" s="482"/>
      <c r="Y23" s="482"/>
      <c r="Z23" s="482"/>
    </row>
    <row r="24" spans="1:28" ht="151.5" customHeight="1" x14ac:dyDescent="0.25">
      <c r="A24" s="89" t="s">
        <v>227</v>
      </c>
      <c r="B24" s="90" t="s">
        <v>256</v>
      </c>
      <c r="C24" s="89" t="s">
        <v>362</v>
      </c>
      <c r="D24" s="89" t="s">
        <v>228</v>
      </c>
      <c r="E24" s="89" t="s">
        <v>363</v>
      </c>
      <c r="F24" s="89" t="s">
        <v>365</v>
      </c>
      <c r="G24" s="89" t="s">
        <v>364</v>
      </c>
      <c r="H24" s="89" t="s">
        <v>229</v>
      </c>
      <c r="I24" s="89" t="s">
        <v>366</v>
      </c>
      <c r="J24" s="89" t="s">
        <v>261</v>
      </c>
      <c r="K24" s="90" t="s">
        <v>255</v>
      </c>
      <c r="L24" s="90" t="s">
        <v>230</v>
      </c>
      <c r="M24" s="91" t="s">
        <v>275</v>
      </c>
      <c r="N24" s="90" t="s">
        <v>519</v>
      </c>
      <c r="O24" s="89" t="s">
        <v>272</v>
      </c>
      <c r="P24" s="89" t="s">
        <v>273</v>
      </c>
      <c r="Q24" s="89" t="s">
        <v>271</v>
      </c>
      <c r="R24" s="89" t="s">
        <v>229</v>
      </c>
      <c r="S24" s="89" t="s">
        <v>270</v>
      </c>
      <c r="T24" s="89" t="s">
        <v>269</v>
      </c>
      <c r="U24" s="89" t="s">
        <v>361</v>
      </c>
      <c r="V24" s="89" t="s">
        <v>271</v>
      </c>
      <c r="W24" s="104" t="s">
        <v>254</v>
      </c>
      <c r="X24" s="104" t="s">
        <v>286</v>
      </c>
      <c r="Y24" s="104" t="s">
        <v>287</v>
      </c>
      <c r="Z24" s="106" t="s">
        <v>284</v>
      </c>
    </row>
    <row r="25" spans="1:28" ht="16.5" customHeight="1" x14ac:dyDescent="0.25">
      <c r="A25" s="89">
        <v>1</v>
      </c>
      <c r="B25" s="90">
        <v>2</v>
      </c>
      <c r="C25" s="89">
        <v>3</v>
      </c>
      <c r="D25" s="90">
        <v>4</v>
      </c>
      <c r="E25" s="89">
        <v>5</v>
      </c>
      <c r="F25" s="90">
        <v>6</v>
      </c>
      <c r="G25" s="89">
        <v>7</v>
      </c>
      <c r="H25" s="90">
        <v>8</v>
      </c>
      <c r="I25" s="89">
        <v>9</v>
      </c>
      <c r="J25" s="90">
        <v>10</v>
      </c>
      <c r="K25" s="158">
        <v>11</v>
      </c>
      <c r="L25" s="90">
        <v>12</v>
      </c>
      <c r="M25" s="158">
        <v>13</v>
      </c>
      <c r="N25" s="90">
        <v>14</v>
      </c>
      <c r="O25" s="158">
        <v>15</v>
      </c>
      <c r="P25" s="90">
        <v>16</v>
      </c>
      <c r="Q25" s="158">
        <v>17</v>
      </c>
      <c r="R25" s="90">
        <v>18</v>
      </c>
      <c r="S25" s="158">
        <v>19</v>
      </c>
      <c r="T25" s="90">
        <v>20</v>
      </c>
      <c r="U25" s="158">
        <v>21</v>
      </c>
      <c r="V25" s="90">
        <v>22</v>
      </c>
      <c r="W25" s="158">
        <v>23</v>
      </c>
      <c r="X25" s="90">
        <v>24</v>
      </c>
      <c r="Y25" s="158">
        <v>25</v>
      </c>
      <c r="Z25" s="90">
        <v>26</v>
      </c>
    </row>
    <row r="26" spans="1:28" ht="45.75" customHeight="1" x14ac:dyDescent="0.25">
      <c r="A26" s="82" t="s">
        <v>346</v>
      </c>
      <c r="B26" s="88"/>
      <c r="C26" s="84" t="s">
        <v>348</v>
      </c>
      <c r="D26" s="84" t="s">
        <v>349</v>
      </c>
      <c r="E26" s="84" t="s">
        <v>350</v>
      </c>
      <c r="F26" s="84" t="s">
        <v>266</v>
      </c>
      <c r="G26" s="84" t="s">
        <v>351</v>
      </c>
      <c r="H26" s="84" t="s">
        <v>229</v>
      </c>
      <c r="I26" s="84" t="s">
        <v>352</v>
      </c>
      <c r="J26" s="84" t="s">
        <v>353</v>
      </c>
      <c r="K26" s="81"/>
      <c r="L26" s="85" t="s">
        <v>252</v>
      </c>
      <c r="M26" s="87" t="s">
        <v>268</v>
      </c>
      <c r="N26" s="81"/>
      <c r="O26" s="81"/>
      <c r="P26" s="81"/>
      <c r="Q26" s="81"/>
      <c r="R26" s="81"/>
      <c r="S26" s="81"/>
      <c r="T26" s="81"/>
      <c r="U26" s="81"/>
      <c r="V26" s="81"/>
      <c r="W26" s="81"/>
      <c r="X26" s="81"/>
      <c r="Y26" s="81"/>
      <c r="Z26" s="83" t="s">
        <v>285</v>
      </c>
    </row>
    <row r="27" spans="1:28" x14ac:dyDescent="0.25">
      <c r="A27" s="81" t="s">
        <v>231</v>
      </c>
      <c r="B27" s="81" t="s">
        <v>257</v>
      </c>
      <c r="C27" s="81" t="s">
        <v>236</v>
      </c>
      <c r="D27" s="81" t="s">
        <v>237</v>
      </c>
      <c r="E27" s="81" t="s">
        <v>276</v>
      </c>
      <c r="F27" s="84" t="s">
        <v>232</v>
      </c>
      <c r="G27" s="84" t="s">
        <v>280</v>
      </c>
      <c r="H27" s="81" t="s">
        <v>229</v>
      </c>
      <c r="I27" s="84" t="s">
        <v>262</v>
      </c>
      <c r="J27" s="84" t="s">
        <v>244</v>
      </c>
      <c r="K27" s="85" t="s">
        <v>248</v>
      </c>
      <c r="L27" s="81"/>
      <c r="M27" s="85" t="s">
        <v>274</v>
      </c>
      <c r="N27" s="81"/>
      <c r="O27" s="81"/>
      <c r="P27" s="81"/>
      <c r="Q27" s="81"/>
      <c r="R27" s="81"/>
      <c r="S27" s="81"/>
      <c r="T27" s="81"/>
      <c r="U27" s="81"/>
      <c r="V27" s="81"/>
      <c r="W27" s="81"/>
      <c r="X27" s="81"/>
      <c r="Y27" s="81"/>
      <c r="Z27" s="81"/>
    </row>
    <row r="28" spans="1:28" x14ac:dyDescent="0.25">
      <c r="A28" s="81" t="s">
        <v>231</v>
      </c>
      <c r="B28" s="81" t="s">
        <v>258</v>
      </c>
      <c r="C28" s="81" t="s">
        <v>238</v>
      </c>
      <c r="D28" s="81" t="s">
        <v>239</v>
      </c>
      <c r="E28" s="81" t="s">
        <v>277</v>
      </c>
      <c r="F28" s="84" t="s">
        <v>233</v>
      </c>
      <c r="G28" s="84" t="s">
        <v>281</v>
      </c>
      <c r="H28" s="81" t="s">
        <v>229</v>
      </c>
      <c r="I28" s="84" t="s">
        <v>263</v>
      </c>
      <c r="J28" s="84" t="s">
        <v>245</v>
      </c>
      <c r="K28" s="85" t="s">
        <v>249</v>
      </c>
      <c r="L28" s="86"/>
      <c r="M28" s="85" t="s">
        <v>0</v>
      </c>
      <c r="N28" s="85"/>
      <c r="O28" s="85"/>
      <c r="P28" s="85"/>
      <c r="Q28" s="85"/>
      <c r="R28" s="85"/>
      <c r="S28" s="85"/>
      <c r="T28" s="85"/>
      <c r="U28" s="85"/>
      <c r="V28" s="85"/>
      <c r="W28" s="85"/>
      <c r="X28" s="85"/>
      <c r="Y28" s="85"/>
      <c r="Z28" s="85"/>
    </row>
    <row r="29" spans="1:28" x14ac:dyDescent="0.25">
      <c r="A29" s="81" t="s">
        <v>231</v>
      </c>
      <c r="B29" s="81" t="s">
        <v>259</v>
      </c>
      <c r="C29" s="81" t="s">
        <v>240</v>
      </c>
      <c r="D29" s="81" t="s">
        <v>241</v>
      </c>
      <c r="E29" s="81" t="s">
        <v>278</v>
      </c>
      <c r="F29" s="84" t="s">
        <v>234</v>
      </c>
      <c r="G29" s="84" t="s">
        <v>282</v>
      </c>
      <c r="H29" s="81" t="s">
        <v>229</v>
      </c>
      <c r="I29" s="84" t="s">
        <v>264</v>
      </c>
      <c r="J29" s="84" t="s">
        <v>246</v>
      </c>
      <c r="K29" s="85" t="s">
        <v>250</v>
      </c>
      <c r="L29" s="86"/>
      <c r="M29" s="81"/>
      <c r="N29" s="81"/>
      <c r="O29" s="81"/>
      <c r="P29" s="81"/>
      <c r="Q29" s="81"/>
      <c r="R29" s="81"/>
      <c r="S29" s="81"/>
      <c r="T29" s="81"/>
      <c r="U29" s="81"/>
      <c r="V29" s="81"/>
      <c r="W29" s="81"/>
      <c r="X29" s="81"/>
      <c r="Y29" s="81"/>
      <c r="Z29" s="81"/>
    </row>
    <row r="30" spans="1:28" x14ac:dyDescent="0.25">
      <c r="A30" s="81" t="s">
        <v>231</v>
      </c>
      <c r="B30" s="81" t="s">
        <v>260</v>
      </c>
      <c r="C30" s="81" t="s">
        <v>242</v>
      </c>
      <c r="D30" s="81" t="s">
        <v>243</v>
      </c>
      <c r="E30" s="81" t="s">
        <v>279</v>
      </c>
      <c r="F30" s="84" t="s">
        <v>235</v>
      </c>
      <c r="G30" s="84" t="s">
        <v>283</v>
      </c>
      <c r="H30" s="81" t="s">
        <v>229</v>
      </c>
      <c r="I30" s="84" t="s">
        <v>265</v>
      </c>
      <c r="J30" s="84" t="s">
        <v>247</v>
      </c>
      <c r="K30" s="85" t="s">
        <v>251</v>
      </c>
      <c r="L30" s="86"/>
      <c r="M30" s="81"/>
      <c r="N30" s="81"/>
      <c r="O30" s="81"/>
      <c r="P30" s="81"/>
      <c r="Q30" s="81"/>
      <c r="R30" s="81"/>
      <c r="S30" s="81"/>
      <c r="T30" s="81"/>
      <c r="U30" s="81"/>
      <c r="V30" s="81"/>
      <c r="W30" s="81"/>
      <c r="X30" s="81"/>
      <c r="Y30" s="81"/>
      <c r="Z30" s="81"/>
    </row>
    <row r="31" spans="1:28" x14ac:dyDescent="0.25">
      <c r="A31" s="81" t="s">
        <v>0</v>
      </c>
      <c r="B31" s="81" t="s">
        <v>0</v>
      </c>
      <c r="C31" s="81" t="s">
        <v>0</v>
      </c>
      <c r="D31" s="81" t="s">
        <v>0</v>
      </c>
      <c r="E31" s="81" t="s">
        <v>0</v>
      </c>
      <c r="F31" s="81" t="s">
        <v>0</v>
      </c>
      <c r="G31" s="81" t="s">
        <v>0</v>
      </c>
      <c r="H31" s="81" t="s">
        <v>0</v>
      </c>
      <c r="I31" s="81" t="s">
        <v>0</v>
      </c>
      <c r="J31" s="81" t="s">
        <v>0</v>
      </c>
      <c r="K31" s="81" t="s">
        <v>0</v>
      </c>
      <c r="L31" s="86"/>
      <c r="M31" s="81"/>
      <c r="N31" s="81"/>
      <c r="O31" s="81"/>
      <c r="P31" s="81"/>
      <c r="Q31" s="81"/>
      <c r="R31" s="81"/>
      <c r="S31" s="81"/>
      <c r="T31" s="81"/>
      <c r="U31" s="81"/>
      <c r="V31" s="81"/>
      <c r="W31" s="81"/>
      <c r="X31" s="81"/>
      <c r="Y31" s="81"/>
      <c r="Z31" s="81"/>
    </row>
    <row r="32" spans="1:28" ht="30" x14ac:dyDescent="0.25">
      <c r="A32" s="88" t="s">
        <v>347</v>
      </c>
      <c r="B32" s="88"/>
      <c r="C32" s="84" t="s">
        <v>354</v>
      </c>
      <c r="D32" s="84" t="s">
        <v>355</v>
      </c>
      <c r="E32" s="84" t="s">
        <v>356</v>
      </c>
      <c r="F32" s="84" t="s">
        <v>357</v>
      </c>
      <c r="G32" s="84" t="s">
        <v>358</v>
      </c>
      <c r="H32" s="84" t="s">
        <v>229</v>
      </c>
      <c r="I32" s="84" t="s">
        <v>359</v>
      </c>
      <c r="J32" s="84" t="s">
        <v>360</v>
      </c>
      <c r="K32" s="81"/>
      <c r="L32" s="81"/>
      <c r="M32" s="81"/>
      <c r="N32" s="81"/>
      <c r="O32" s="81"/>
      <c r="P32" s="81"/>
      <c r="Q32" s="81"/>
      <c r="R32" s="81"/>
      <c r="S32" s="81"/>
      <c r="T32" s="81"/>
      <c r="U32" s="81"/>
      <c r="V32" s="81"/>
      <c r="W32" s="81"/>
      <c r="X32" s="81"/>
      <c r="Y32" s="81"/>
      <c r="Z32" s="81"/>
    </row>
    <row r="33" spans="1:26" x14ac:dyDescent="0.25">
      <c r="A33" s="81" t="s">
        <v>0</v>
      </c>
      <c r="B33" s="81" t="s">
        <v>0</v>
      </c>
      <c r="C33" s="81" t="s">
        <v>0</v>
      </c>
      <c r="D33" s="81" t="s">
        <v>0</v>
      </c>
      <c r="E33" s="81" t="s">
        <v>0</v>
      </c>
      <c r="F33" s="81" t="s">
        <v>0</v>
      </c>
      <c r="G33" s="81" t="s">
        <v>0</v>
      </c>
      <c r="H33" s="81" t="s">
        <v>0</v>
      </c>
      <c r="I33" s="81" t="s">
        <v>0</v>
      </c>
      <c r="J33" s="81" t="s">
        <v>0</v>
      </c>
      <c r="K33" s="81" t="s">
        <v>0</v>
      </c>
      <c r="L33" s="81"/>
      <c r="M33" s="81"/>
      <c r="N33" s="81"/>
      <c r="O33" s="81"/>
      <c r="P33" s="81"/>
      <c r="Q33" s="81"/>
      <c r="R33" s="81"/>
      <c r="S33" s="81"/>
      <c r="T33" s="81"/>
      <c r="U33" s="81"/>
      <c r="V33" s="81"/>
      <c r="W33" s="81"/>
      <c r="X33" s="81"/>
      <c r="Y33" s="81"/>
      <c r="Z33" s="81"/>
    </row>
    <row r="37" spans="1:26" x14ac:dyDescent="0.25">
      <c r="A37" s="10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9" zoomScaleSheetLayoutView="69"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2" customFormat="1" ht="18.75" customHeight="1" x14ac:dyDescent="0.2">
      <c r="A1" s="18"/>
      <c r="B1" s="18"/>
      <c r="M1" s="35" t="s">
        <v>66</v>
      </c>
    </row>
    <row r="2" spans="1:26" s="12" customFormat="1" ht="18.75" customHeight="1" x14ac:dyDescent="0.3">
      <c r="A2" s="18"/>
      <c r="B2" s="18"/>
      <c r="M2" s="15" t="s">
        <v>8</v>
      </c>
    </row>
    <row r="3" spans="1:26" s="12" customFormat="1" ht="18.75" x14ac:dyDescent="0.3">
      <c r="A3" s="17"/>
      <c r="B3" s="17"/>
      <c r="M3" s="15" t="s">
        <v>65</v>
      </c>
    </row>
    <row r="4" spans="1:26" s="12" customFormat="1" ht="18.75" x14ac:dyDescent="0.3">
      <c r="A4" s="17"/>
      <c r="B4" s="17"/>
      <c r="L4" s="15"/>
    </row>
    <row r="5" spans="1:26" s="12" customFormat="1" ht="15.75" x14ac:dyDescent="0.2">
      <c r="A5" s="435" t="str">
        <f>'1. паспорт местоположение'!A5:C5</f>
        <v>Год раскрытия информации: 2022 год</v>
      </c>
      <c r="B5" s="435"/>
      <c r="C5" s="435"/>
      <c r="D5" s="435"/>
      <c r="E5" s="435"/>
      <c r="F5" s="435"/>
      <c r="G5" s="435"/>
      <c r="H5" s="435"/>
      <c r="I5" s="435"/>
      <c r="J5" s="435"/>
      <c r="K5" s="435"/>
      <c r="L5" s="435"/>
      <c r="M5" s="435"/>
      <c r="N5" s="154"/>
      <c r="O5" s="154"/>
      <c r="P5" s="154"/>
      <c r="Q5" s="154"/>
      <c r="R5" s="154"/>
      <c r="S5" s="154"/>
      <c r="T5" s="154"/>
      <c r="U5" s="154"/>
      <c r="V5" s="154"/>
      <c r="W5" s="154"/>
      <c r="X5" s="154"/>
      <c r="Y5" s="154"/>
      <c r="Z5" s="154"/>
    </row>
    <row r="6" spans="1:26" s="12" customFormat="1" ht="18.75" x14ac:dyDescent="0.3">
      <c r="A6" s="17"/>
      <c r="B6" s="17"/>
      <c r="L6" s="15"/>
    </row>
    <row r="7" spans="1:26" s="12" customFormat="1" ht="18.75" x14ac:dyDescent="0.2">
      <c r="A7" s="443" t="s">
        <v>7</v>
      </c>
      <c r="B7" s="443"/>
      <c r="C7" s="443"/>
      <c r="D7" s="443"/>
      <c r="E7" s="443"/>
      <c r="F7" s="443"/>
      <c r="G7" s="443"/>
      <c r="H7" s="443"/>
      <c r="I7" s="443"/>
      <c r="J7" s="443"/>
      <c r="K7" s="443"/>
      <c r="L7" s="443"/>
      <c r="M7" s="443"/>
      <c r="N7" s="144"/>
      <c r="O7" s="144"/>
      <c r="P7" s="144"/>
      <c r="Q7" s="144"/>
      <c r="R7" s="144"/>
      <c r="S7" s="144"/>
      <c r="T7" s="144"/>
      <c r="U7" s="144"/>
      <c r="V7" s="144"/>
      <c r="W7" s="144"/>
      <c r="X7" s="144"/>
    </row>
    <row r="8" spans="1:26" s="12" customFormat="1" ht="18.75" x14ac:dyDescent="0.2">
      <c r="A8" s="443"/>
      <c r="B8" s="443"/>
      <c r="C8" s="443"/>
      <c r="D8" s="443"/>
      <c r="E8" s="443"/>
      <c r="F8" s="443"/>
      <c r="G8" s="443"/>
      <c r="H8" s="443"/>
      <c r="I8" s="443"/>
      <c r="J8" s="443"/>
      <c r="K8" s="443"/>
      <c r="L8" s="443"/>
      <c r="M8" s="443"/>
      <c r="N8" s="144"/>
      <c r="O8" s="144"/>
      <c r="P8" s="144"/>
      <c r="Q8" s="144"/>
      <c r="R8" s="144"/>
      <c r="S8" s="144"/>
      <c r="T8" s="144"/>
      <c r="U8" s="144"/>
      <c r="V8" s="144"/>
      <c r="W8" s="144"/>
      <c r="X8" s="144"/>
    </row>
    <row r="9" spans="1:26" s="12" customFormat="1" ht="18.75" x14ac:dyDescent="0.2">
      <c r="A9" s="444" t="str">
        <f>'1. паспорт местоположение'!A9:C9</f>
        <v>Акционерное общество "Янтарьэнерго" ДЗО  ПАО "Россети"</v>
      </c>
      <c r="B9" s="444"/>
      <c r="C9" s="444"/>
      <c r="D9" s="444"/>
      <c r="E9" s="444"/>
      <c r="F9" s="444"/>
      <c r="G9" s="444"/>
      <c r="H9" s="444"/>
      <c r="I9" s="444"/>
      <c r="J9" s="444"/>
      <c r="K9" s="444"/>
      <c r="L9" s="444"/>
      <c r="M9" s="444"/>
      <c r="N9" s="144"/>
      <c r="O9" s="144"/>
      <c r="P9" s="144"/>
      <c r="Q9" s="144"/>
      <c r="R9" s="144"/>
      <c r="S9" s="144"/>
      <c r="T9" s="144"/>
      <c r="U9" s="144"/>
      <c r="V9" s="144"/>
      <c r="W9" s="144"/>
      <c r="X9" s="144"/>
    </row>
    <row r="10" spans="1:26" s="12" customFormat="1" ht="18.75" x14ac:dyDescent="0.2">
      <c r="A10" s="448" t="s">
        <v>6</v>
      </c>
      <c r="B10" s="448"/>
      <c r="C10" s="448"/>
      <c r="D10" s="448"/>
      <c r="E10" s="448"/>
      <c r="F10" s="448"/>
      <c r="G10" s="448"/>
      <c r="H10" s="448"/>
      <c r="I10" s="448"/>
      <c r="J10" s="448"/>
      <c r="K10" s="448"/>
      <c r="L10" s="448"/>
      <c r="M10" s="448"/>
      <c r="N10" s="144"/>
      <c r="O10" s="144"/>
      <c r="P10" s="144"/>
      <c r="Q10" s="144"/>
      <c r="R10" s="144"/>
      <c r="S10" s="144"/>
      <c r="T10" s="144"/>
      <c r="U10" s="144"/>
      <c r="V10" s="144"/>
      <c r="W10" s="144"/>
      <c r="X10" s="144"/>
    </row>
    <row r="11" spans="1:26" s="12" customFormat="1" ht="18.75" x14ac:dyDescent="0.2">
      <c r="A11" s="443"/>
      <c r="B11" s="443"/>
      <c r="C11" s="443"/>
      <c r="D11" s="443"/>
      <c r="E11" s="443"/>
      <c r="F11" s="443"/>
      <c r="G11" s="443"/>
      <c r="H11" s="443"/>
      <c r="I11" s="443"/>
      <c r="J11" s="443"/>
      <c r="K11" s="443"/>
      <c r="L11" s="443"/>
      <c r="M11" s="443"/>
      <c r="N11" s="144"/>
      <c r="O11" s="144"/>
      <c r="P11" s="144"/>
      <c r="Q11" s="144"/>
      <c r="R11" s="144"/>
      <c r="S11" s="144"/>
      <c r="T11" s="144"/>
      <c r="U11" s="144"/>
      <c r="V11" s="144"/>
      <c r="W11" s="144"/>
      <c r="X11" s="144"/>
    </row>
    <row r="12" spans="1:26" s="12" customFormat="1" ht="18.75" x14ac:dyDescent="0.2">
      <c r="A12" s="444" t="str">
        <f>'1. паспорт местоположение'!A12:C12</f>
        <v>F_48-НН</v>
      </c>
      <c r="B12" s="444"/>
      <c r="C12" s="444"/>
      <c r="D12" s="444"/>
      <c r="E12" s="444"/>
      <c r="F12" s="444"/>
      <c r="G12" s="444"/>
      <c r="H12" s="444"/>
      <c r="I12" s="444"/>
      <c r="J12" s="444"/>
      <c r="K12" s="444"/>
      <c r="L12" s="444"/>
      <c r="M12" s="444"/>
      <c r="N12" s="144"/>
      <c r="O12" s="144"/>
      <c r="P12" s="144"/>
      <c r="Q12" s="144"/>
      <c r="R12" s="144"/>
      <c r="S12" s="144"/>
      <c r="T12" s="144"/>
      <c r="U12" s="144"/>
      <c r="V12" s="144"/>
      <c r="W12" s="144"/>
      <c r="X12" s="144"/>
    </row>
    <row r="13" spans="1:26" s="12" customFormat="1" ht="18.75" x14ac:dyDescent="0.2">
      <c r="A13" s="448" t="s">
        <v>5</v>
      </c>
      <c r="B13" s="448"/>
      <c r="C13" s="448"/>
      <c r="D13" s="448"/>
      <c r="E13" s="448"/>
      <c r="F13" s="448"/>
      <c r="G13" s="448"/>
      <c r="H13" s="448"/>
      <c r="I13" s="448"/>
      <c r="J13" s="448"/>
      <c r="K13" s="448"/>
      <c r="L13" s="448"/>
      <c r="M13" s="448"/>
      <c r="N13" s="144"/>
      <c r="O13" s="144"/>
      <c r="P13" s="144"/>
      <c r="Q13" s="144"/>
      <c r="R13" s="144"/>
      <c r="S13" s="144"/>
      <c r="T13" s="144"/>
      <c r="U13" s="144"/>
      <c r="V13" s="144"/>
      <c r="W13" s="144"/>
      <c r="X13" s="144"/>
    </row>
    <row r="14" spans="1:26" s="9" customFormat="1" ht="15.75" customHeight="1" x14ac:dyDescent="0.2">
      <c r="A14" s="449"/>
      <c r="B14" s="449"/>
      <c r="C14" s="449"/>
      <c r="D14" s="449"/>
      <c r="E14" s="449"/>
      <c r="F14" s="449"/>
      <c r="G14" s="449"/>
      <c r="H14" s="449"/>
      <c r="I14" s="449"/>
      <c r="J14" s="449"/>
      <c r="K14" s="449"/>
      <c r="L14" s="449"/>
      <c r="M14" s="449"/>
      <c r="N14" s="355"/>
      <c r="O14" s="355"/>
      <c r="P14" s="355"/>
      <c r="Q14" s="355"/>
      <c r="R14" s="355"/>
      <c r="S14" s="355"/>
      <c r="T14" s="355"/>
      <c r="U14" s="355"/>
      <c r="V14" s="355"/>
      <c r="W14" s="355"/>
      <c r="X14" s="355"/>
    </row>
    <row r="15" spans="1:26" s="3" customFormat="1" ht="12" x14ac:dyDescent="0.2">
      <c r="A15" s="444" t="str">
        <f>'1. паспорт местоположение'!A15</f>
        <v>Организация интеллектуальной системы учета электроэнергии (приобретение компонентов интеллектуальной системы учета, выполнение проектных, строительно-монтажных и пусконаладочных работ по модернизации / созданию интеллектуальной системы учета электроэнергии)</v>
      </c>
      <c r="B15" s="444"/>
      <c r="C15" s="444"/>
      <c r="D15" s="444"/>
      <c r="E15" s="444"/>
      <c r="F15" s="444"/>
      <c r="G15" s="444"/>
      <c r="H15" s="444"/>
      <c r="I15" s="444"/>
      <c r="J15" s="444"/>
      <c r="K15" s="444"/>
      <c r="L15" s="444"/>
      <c r="M15" s="444"/>
      <c r="N15" s="221"/>
      <c r="O15" s="221"/>
      <c r="P15" s="221"/>
      <c r="Q15" s="221"/>
      <c r="R15" s="221"/>
      <c r="S15" s="221"/>
      <c r="T15" s="221"/>
      <c r="U15" s="221"/>
      <c r="V15" s="221"/>
      <c r="W15" s="221"/>
      <c r="X15" s="221"/>
    </row>
    <row r="16" spans="1:26" s="3" customFormat="1" ht="15" customHeight="1" x14ac:dyDescent="0.2">
      <c r="A16" s="448" t="s">
        <v>4</v>
      </c>
      <c r="B16" s="448"/>
      <c r="C16" s="448"/>
      <c r="D16" s="448"/>
      <c r="E16" s="448"/>
      <c r="F16" s="448"/>
      <c r="G16" s="448"/>
      <c r="H16" s="448"/>
      <c r="I16" s="448"/>
      <c r="J16" s="448"/>
      <c r="K16" s="448"/>
      <c r="L16" s="448"/>
      <c r="M16" s="448"/>
      <c r="N16" s="146"/>
      <c r="O16" s="146"/>
      <c r="P16" s="146"/>
      <c r="Q16" s="146"/>
      <c r="R16" s="146"/>
      <c r="S16" s="146"/>
      <c r="T16" s="146"/>
      <c r="U16" s="146"/>
      <c r="V16" s="146"/>
      <c r="W16" s="146"/>
      <c r="X16" s="146"/>
    </row>
    <row r="17" spans="1:24" s="3" customFormat="1" ht="15" customHeight="1" x14ac:dyDescent="0.2">
      <c r="A17" s="450"/>
      <c r="B17" s="450"/>
      <c r="C17" s="450"/>
      <c r="D17" s="450"/>
      <c r="E17" s="450"/>
      <c r="F17" s="450"/>
      <c r="G17" s="450"/>
      <c r="H17" s="450"/>
      <c r="I17" s="450"/>
      <c r="J17" s="450"/>
      <c r="K17" s="450"/>
      <c r="L17" s="450"/>
      <c r="M17" s="450"/>
      <c r="N17" s="354"/>
      <c r="O17" s="354"/>
      <c r="P17" s="354"/>
      <c r="Q17" s="354"/>
      <c r="R17" s="354"/>
      <c r="S17" s="354"/>
      <c r="T17" s="354"/>
      <c r="U17" s="354"/>
    </row>
    <row r="18" spans="1:24" s="3" customFormat="1" ht="91.5" customHeight="1" x14ac:dyDescent="0.2">
      <c r="A18" s="487" t="s">
        <v>486</v>
      </c>
      <c r="B18" s="487"/>
      <c r="C18" s="487"/>
      <c r="D18" s="487"/>
      <c r="E18" s="487"/>
      <c r="F18" s="487"/>
      <c r="G18" s="487"/>
      <c r="H18" s="487"/>
      <c r="I18" s="487"/>
      <c r="J18" s="487"/>
      <c r="K18" s="487"/>
      <c r="L18" s="487"/>
      <c r="M18" s="487"/>
      <c r="N18" s="7"/>
      <c r="O18" s="7"/>
      <c r="P18" s="7"/>
      <c r="Q18" s="7"/>
      <c r="R18" s="7"/>
      <c r="S18" s="7"/>
      <c r="T18" s="7"/>
      <c r="U18" s="7"/>
      <c r="V18" s="7"/>
      <c r="W18" s="7"/>
      <c r="X18" s="7"/>
    </row>
    <row r="19" spans="1:24" s="3" customFormat="1" ht="78" customHeight="1" x14ac:dyDescent="0.2">
      <c r="A19" s="488" t="s">
        <v>3</v>
      </c>
      <c r="B19" s="488" t="s">
        <v>82</v>
      </c>
      <c r="C19" s="488" t="s">
        <v>81</v>
      </c>
      <c r="D19" s="488" t="s">
        <v>73</v>
      </c>
      <c r="E19" s="488" t="s">
        <v>80</v>
      </c>
      <c r="F19" s="488"/>
      <c r="G19" s="488"/>
      <c r="H19" s="488"/>
      <c r="I19" s="488"/>
      <c r="J19" s="488" t="s">
        <v>79</v>
      </c>
      <c r="K19" s="488"/>
      <c r="L19" s="488"/>
      <c r="M19" s="488"/>
      <c r="N19" s="354"/>
      <c r="O19" s="354"/>
      <c r="P19" s="354"/>
      <c r="Q19" s="354"/>
      <c r="R19" s="354"/>
      <c r="S19" s="354"/>
      <c r="T19" s="354"/>
      <c r="U19" s="354"/>
    </row>
    <row r="20" spans="1:24" s="3" customFormat="1" ht="51" customHeight="1" x14ac:dyDescent="0.2">
      <c r="A20" s="488"/>
      <c r="B20" s="488"/>
      <c r="C20" s="488"/>
      <c r="D20" s="488"/>
      <c r="E20" s="357" t="s">
        <v>78</v>
      </c>
      <c r="F20" s="357" t="s">
        <v>77</v>
      </c>
      <c r="G20" s="357" t="s">
        <v>76</v>
      </c>
      <c r="H20" s="357" t="s">
        <v>75</v>
      </c>
      <c r="I20" s="357" t="s">
        <v>74</v>
      </c>
      <c r="J20" s="357">
        <v>2020</v>
      </c>
      <c r="K20" s="357">
        <v>2021</v>
      </c>
      <c r="L20" s="357">
        <v>2022</v>
      </c>
      <c r="M20" s="357">
        <v>2023</v>
      </c>
      <c r="N20" s="28"/>
      <c r="O20" s="28"/>
      <c r="P20" s="28"/>
      <c r="Q20" s="28"/>
      <c r="R20" s="28"/>
      <c r="S20" s="28"/>
      <c r="T20" s="28"/>
      <c r="U20" s="28"/>
      <c r="V20" s="27"/>
      <c r="W20" s="27"/>
      <c r="X20" s="27"/>
    </row>
    <row r="21" spans="1:24" s="3" customFormat="1" ht="16.5" customHeight="1" x14ac:dyDescent="0.2">
      <c r="A21" s="358">
        <v>1</v>
      </c>
      <c r="B21" s="358">
        <v>2</v>
      </c>
      <c r="C21" s="358">
        <v>3</v>
      </c>
      <c r="D21" s="358">
        <v>4</v>
      </c>
      <c r="E21" s="358">
        <v>5</v>
      </c>
      <c r="F21" s="358">
        <v>6</v>
      </c>
      <c r="G21" s="358">
        <v>7</v>
      </c>
      <c r="H21" s="358">
        <v>8</v>
      </c>
      <c r="I21" s="358">
        <v>9</v>
      </c>
      <c r="J21" s="358">
        <v>10</v>
      </c>
      <c r="K21" s="358">
        <v>11</v>
      </c>
      <c r="L21" s="358">
        <v>12</v>
      </c>
      <c r="M21" s="358">
        <v>13</v>
      </c>
      <c r="N21" s="28"/>
      <c r="O21" s="28"/>
      <c r="P21" s="28"/>
      <c r="Q21" s="28"/>
      <c r="R21" s="28"/>
      <c r="S21" s="28"/>
      <c r="T21" s="28"/>
      <c r="U21" s="28"/>
      <c r="V21" s="27"/>
      <c r="W21" s="27"/>
      <c r="X21" s="27"/>
    </row>
    <row r="22" spans="1:24" s="3" customFormat="1" ht="33" customHeight="1" x14ac:dyDescent="0.2">
      <c r="A22" s="359" t="s">
        <v>62</v>
      </c>
      <c r="B22" s="359" t="s">
        <v>743</v>
      </c>
      <c r="C22" s="360">
        <v>0</v>
      </c>
      <c r="D22" s="360">
        <v>0</v>
      </c>
      <c r="E22" s="360">
        <v>0</v>
      </c>
      <c r="F22" s="360">
        <v>0</v>
      </c>
      <c r="G22" s="360">
        <v>0</v>
      </c>
      <c r="H22" s="360">
        <v>0</v>
      </c>
      <c r="I22" s="360">
        <v>0</v>
      </c>
      <c r="J22" s="360">
        <v>0</v>
      </c>
      <c r="K22" s="360">
        <v>0</v>
      </c>
      <c r="L22" s="360">
        <v>0</v>
      </c>
      <c r="M22" s="360">
        <v>0</v>
      </c>
      <c r="N22" s="28"/>
      <c r="O22" s="28"/>
      <c r="P22" s="28"/>
      <c r="Q22" s="28"/>
      <c r="R22" s="28"/>
      <c r="S22" s="28"/>
      <c r="T22" s="27"/>
      <c r="U22" s="27"/>
      <c r="V22" s="27"/>
      <c r="W22" s="27"/>
      <c r="X22" s="27"/>
    </row>
    <row r="23" spans="1:24"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G176"/>
  <sheetViews>
    <sheetView topLeftCell="A25" zoomScale="90" zoomScaleNormal="90" workbookViewId="0">
      <selection activeCell="B51" sqref="B51"/>
    </sheetView>
  </sheetViews>
  <sheetFormatPr defaultColWidth="9.140625" defaultRowHeight="15.75" x14ac:dyDescent="0.2"/>
  <cols>
    <col min="1" max="1" width="61.7109375" style="164" customWidth="1"/>
    <col min="2" max="2" width="18.5703125" style="159" customWidth="1"/>
    <col min="3" max="19" width="16.85546875" style="159" customWidth="1"/>
    <col min="20" max="39" width="16.85546875" style="159" hidden="1" customWidth="1"/>
    <col min="40" max="244" width="9.140625" style="160"/>
    <col min="245" max="245" width="61.7109375" style="160" customWidth="1"/>
    <col min="246" max="246" width="18.5703125" style="160" customWidth="1"/>
    <col min="247" max="286" width="16.85546875" style="160" customWidth="1"/>
    <col min="287" max="288" width="18.5703125" style="160" customWidth="1"/>
    <col min="289" max="289" width="21.7109375" style="160" customWidth="1"/>
    <col min="290" max="500" width="9.140625" style="160"/>
    <col min="501" max="501" width="61.7109375" style="160" customWidth="1"/>
    <col min="502" max="502" width="18.5703125" style="160" customWidth="1"/>
    <col min="503" max="542" width="16.85546875" style="160" customWidth="1"/>
    <col min="543" max="544" width="18.5703125" style="160" customWidth="1"/>
    <col min="545" max="545" width="21.7109375" style="160" customWidth="1"/>
    <col min="546" max="756" width="9.140625" style="160"/>
    <col min="757" max="757" width="61.7109375" style="160" customWidth="1"/>
    <col min="758" max="758" width="18.5703125" style="160" customWidth="1"/>
    <col min="759" max="798" width="16.85546875" style="160" customWidth="1"/>
    <col min="799" max="800" width="18.5703125" style="160" customWidth="1"/>
    <col min="801" max="801" width="21.7109375" style="160" customWidth="1"/>
    <col min="802" max="1012" width="9.140625" style="160"/>
    <col min="1013" max="1013" width="61.7109375" style="160" customWidth="1"/>
    <col min="1014" max="1014" width="18.5703125" style="160" customWidth="1"/>
    <col min="1015" max="1054" width="16.85546875" style="160" customWidth="1"/>
    <col min="1055" max="1056" width="18.5703125" style="160" customWidth="1"/>
    <col min="1057" max="1057" width="21.7109375" style="160" customWidth="1"/>
    <col min="1058" max="1268" width="9.140625" style="160"/>
    <col min="1269" max="1269" width="61.7109375" style="160" customWidth="1"/>
    <col min="1270" max="1270" width="18.5703125" style="160" customWidth="1"/>
    <col min="1271" max="1310" width="16.85546875" style="160" customWidth="1"/>
    <col min="1311" max="1312" width="18.5703125" style="160" customWidth="1"/>
    <col min="1313" max="1313" width="21.7109375" style="160" customWidth="1"/>
    <col min="1314" max="1524" width="9.140625" style="160"/>
    <col min="1525" max="1525" width="61.7109375" style="160" customWidth="1"/>
    <col min="1526" max="1526" width="18.5703125" style="160" customWidth="1"/>
    <col min="1527" max="1566" width="16.85546875" style="160" customWidth="1"/>
    <col min="1567" max="1568" width="18.5703125" style="160" customWidth="1"/>
    <col min="1569" max="1569" width="21.7109375" style="160" customWidth="1"/>
    <col min="1570" max="1780" width="9.140625" style="160"/>
    <col min="1781" max="1781" width="61.7109375" style="160" customWidth="1"/>
    <col min="1782" max="1782" width="18.5703125" style="160" customWidth="1"/>
    <col min="1783" max="1822" width="16.85546875" style="160" customWidth="1"/>
    <col min="1823" max="1824" width="18.5703125" style="160" customWidth="1"/>
    <col min="1825" max="1825" width="21.7109375" style="160" customWidth="1"/>
    <col min="1826" max="2036" width="9.140625" style="160"/>
    <col min="2037" max="2037" width="61.7109375" style="160" customWidth="1"/>
    <col min="2038" max="2038" width="18.5703125" style="160" customWidth="1"/>
    <col min="2039" max="2078" width="16.85546875" style="160" customWidth="1"/>
    <col min="2079" max="2080" width="18.5703125" style="160" customWidth="1"/>
    <col min="2081" max="2081" width="21.7109375" style="160" customWidth="1"/>
    <col min="2082" max="2292" width="9.140625" style="160"/>
    <col min="2293" max="2293" width="61.7109375" style="160" customWidth="1"/>
    <col min="2294" max="2294" width="18.5703125" style="160" customWidth="1"/>
    <col min="2295" max="2334" width="16.85546875" style="160" customWidth="1"/>
    <col min="2335" max="2336" width="18.5703125" style="160" customWidth="1"/>
    <col min="2337" max="2337" width="21.7109375" style="160" customWidth="1"/>
    <col min="2338" max="2548" width="9.140625" style="160"/>
    <col min="2549" max="2549" width="61.7109375" style="160" customWidth="1"/>
    <col min="2550" max="2550" width="18.5703125" style="160" customWidth="1"/>
    <col min="2551" max="2590" width="16.85546875" style="160" customWidth="1"/>
    <col min="2591" max="2592" width="18.5703125" style="160" customWidth="1"/>
    <col min="2593" max="2593" width="21.7109375" style="160" customWidth="1"/>
    <col min="2594" max="2804" width="9.140625" style="160"/>
    <col min="2805" max="2805" width="61.7109375" style="160" customWidth="1"/>
    <col min="2806" max="2806" width="18.5703125" style="160" customWidth="1"/>
    <col min="2807" max="2846" width="16.85546875" style="160" customWidth="1"/>
    <col min="2847" max="2848" width="18.5703125" style="160" customWidth="1"/>
    <col min="2849" max="2849" width="21.7109375" style="160" customWidth="1"/>
    <col min="2850" max="3060" width="9.140625" style="160"/>
    <col min="3061" max="3061" width="61.7109375" style="160" customWidth="1"/>
    <col min="3062" max="3062" width="18.5703125" style="160" customWidth="1"/>
    <col min="3063" max="3102" width="16.85546875" style="160" customWidth="1"/>
    <col min="3103" max="3104" width="18.5703125" style="160" customWidth="1"/>
    <col min="3105" max="3105" width="21.7109375" style="160" customWidth="1"/>
    <col min="3106" max="3316" width="9.140625" style="160"/>
    <col min="3317" max="3317" width="61.7109375" style="160" customWidth="1"/>
    <col min="3318" max="3318" width="18.5703125" style="160" customWidth="1"/>
    <col min="3319" max="3358" width="16.85546875" style="160" customWidth="1"/>
    <col min="3359" max="3360" width="18.5703125" style="160" customWidth="1"/>
    <col min="3361" max="3361" width="21.7109375" style="160" customWidth="1"/>
    <col min="3362" max="3572" width="9.140625" style="160"/>
    <col min="3573" max="3573" width="61.7109375" style="160" customWidth="1"/>
    <col min="3574" max="3574" width="18.5703125" style="160" customWidth="1"/>
    <col min="3575" max="3614" width="16.85546875" style="160" customWidth="1"/>
    <col min="3615" max="3616" width="18.5703125" style="160" customWidth="1"/>
    <col min="3617" max="3617" width="21.7109375" style="160" customWidth="1"/>
    <col min="3618" max="3828" width="9.140625" style="160"/>
    <col min="3829" max="3829" width="61.7109375" style="160" customWidth="1"/>
    <col min="3830" max="3830" width="18.5703125" style="160" customWidth="1"/>
    <col min="3831" max="3870" width="16.85546875" style="160" customWidth="1"/>
    <col min="3871" max="3872" width="18.5703125" style="160" customWidth="1"/>
    <col min="3873" max="3873" width="21.7109375" style="160" customWidth="1"/>
    <col min="3874" max="4084" width="9.140625" style="160"/>
    <col min="4085" max="4085" width="61.7109375" style="160" customWidth="1"/>
    <col min="4086" max="4086" width="18.5703125" style="160" customWidth="1"/>
    <col min="4087" max="4126" width="16.85546875" style="160" customWidth="1"/>
    <col min="4127" max="4128" width="18.5703125" style="160" customWidth="1"/>
    <col min="4129" max="4129" width="21.7109375" style="160" customWidth="1"/>
    <col min="4130" max="4340" width="9.140625" style="160"/>
    <col min="4341" max="4341" width="61.7109375" style="160" customWidth="1"/>
    <col min="4342" max="4342" width="18.5703125" style="160" customWidth="1"/>
    <col min="4343" max="4382" width="16.85546875" style="160" customWidth="1"/>
    <col min="4383" max="4384" width="18.5703125" style="160" customWidth="1"/>
    <col min="4385" max="4385" width="21.7109375" style="160" customWidth="1"/>
    <col min="4386" max="4596" width="9.140625" style="160"/>
    <col min="4597" max="4597" width="61.7109375" style="160" customWidth="1"/>
    <col min="4598" max="4598" width="18.5703125" style="160" customWidth="1"/>
    <col min="4599" max="4638" width="16.85546875" style="160" customWidth="1"/>
    <col min="4639" max="4640" width="18.5703125" style="160" customWidth="1"/>
    <col min="4641" max="4641" width="21.7109375" style="160" customWidth="1"/>
    <col min="4642" max="4852" width="9.140625" style="160"/>
    <col min="4853" max="4853" width="61.7109375" style="160" customWidth="1"/>
    <col min="4854" max="4854" width="18.5703125" style="160" customWidth="1"/>
    <col min="4855" max="4894" width="16.85546875" style="160" customWidth="1"/>
    <col min="4895" max="4896" width="18.5703125" style="160" customWidth="1"/>
    <col min="4897" max="4897" width="21.7109375" style="160" customWidth="1"/>
    <col min="4898" max="5108" width="9.140625" style="160"/>
    <col min="5109" max="5109" width="61.7109375" style="160" customWidth="1"/>
    <col min="5110" max="5110" width="18.5703125" style="160" customWidth="1"/>
    <col min="5111" max="5150" width="16.85546875" style="160" customWidth="1"/>
    <col min="5151" max="5152" width="18.5703125" style="160" customWidth="1"/>
    <col min="5153" max="5153" width="21.7109375" style="160" customWidth="1"/>
    <col min="5154" max="5364" width="9.140625" style="160"/>
    <col min="5365" max="5365" width="61.7109375" style="160" customWidth="1"/>
    <col min="5366" max="5366" width="18.5703125" style="160" customWidth="1"/>
    <col min="5367" max="5406" width="16.85546875" style="160" customWidth="1"/>
    <col min="5407" max="5408" width="18.5703125" style="160" customWidth="1"/>
    <col min="5409" max="5409" width="21.7109375" style="160" customWidth="1"/>
    <col min="5410" max="5620" width="9.140625" style="160"/>
    <col min="5621" max="5621" width="61.7109375" style="160" customWidth="1"/>
    <col min="5622" max="5622" width="18.5703125" style="160" customWidth="1"/>
    <col min="5623" max="5662" width="16.85546875" style="160" customWidth="1"/>
    <col min="5663" max="5664" width="18.5703125" style="160" customWidth="1"/>
    <col min="5665" max="5665" width="21.7109375" style="160" customWidth="1"/>
    <col min="5666" max="5876" width="9.140625" style="160"/>
    <col min="5877" max="5877" width="61.7109375" style="160" customWidth="1"/>
    <col min="5878" max="5878" width="18.5703125" style="160" customWidth="1"/>
    <col min="5879" max="5918" width="16.85546875" style="160" customWidth="1"/>
    <col min="5919" max="5920" width="18.5703125" style="160" customWidth="1"/>
    <col min="5921" max="5921" width="21.7109375" style="160" customWidth="1"/>
    <col min="5922" max="6132" width="9.140625" style="160"/>
    <col min="6133" max="6133" width="61.7109375" style="160" customWidth="1"/>
    <col min="6134" max="6134" width="18.5703125" style="160" customWidth="1"/>
    <col min="6135" max="6174" width="16.85546875" style="160" customWidth="1"/>
    <col min="6175" max="6176" width="18.5703125" style="160" customWidth="1"/>
    <col min="6177" max="6177" width="21.7109375" style="160" customWidth="1"/>
    <col min="6178" max="6388" width="9.140625" style="160"/>
    <col min="6389" max="6389" width="61.7109375" style="160" customWidth="1"/>
    <col min="6390" max="6390" width="18.5703125" style="160" customWidth="1"/>
    <col min="6391" max="6430" width="16.85546875" style="160" customWidth="1"/>
    <col min="6431" max="6432" width="18.5703125" style="160" customWidth="1"/>
    <col min="6433" max="6433" width="21.7109375" style="160" customWidth="1"/>
    <col min="6434" max="6644" width="9.140625" style="160"/>
    <col min="6645" max="6645" width="61.7109375" style="160" customWidth="1"/>
    <col min="6646" max="6646" width="18.5703125" style="160" customWidth="1"/>
    <col min="6647" max="6686" width="16.85546875" style="160" customWidth="1"/>
    <col min="6687" max="6688" width="18.5703125" style="160" customWidth="1"/>
    <col min="6689" max="6689" width="21.7109375" style="160" customWidth="1"/>
    <col min="6690" max="6900" width="9.140625" style="160"/>
    <col min="6901" max="6901" width="61.7109375" style="160" customWidth="1"/>
    <col min="6902" max="6902" width="18.5703125" style="160" customWidth="1"/>
    <col min="6903" max="6942" width="16.85546875" style="160" customWidth="1"/>
    <col min="6943" max="6944" width="18.5703125" style="160" customWidth="1"/>
    <col min="6945" max="6945" width="21.7109375" style="160" customWidth="1"/>
    <col min="6946" max="7156" width="9.140625" style="160"/>
    <col min="7157" max="7157" width="61.7109375" style="160" customWidth="1"/>
    <col min="7158" max="7158" width="18.5703125" style="160" customWidth="1"/>
    <col min="7159" max="7198" width="16.85546875" style="160" customWidth="1"/>
    <col min="7199" max="7200" width="18.5703125" style="160" customWidth="1"/>
    <col min="7201" max="7201" width="21.7109375" style="160" customWidth="1"/>
    <col min="7202" max="7412" width="9.140625" style="160"/>
    <col min="7413" max="7413" width="61.7109375" style="160" customWidth="1"/>
    <col min="7414" max="7414" width="18.5703125" style="160" customWidth="1"/>
    <col min="7415" max="7454" width="16.85546875" style="160" customWidth="1"/>
    <col min="7455" max="7456" width="18.5703125" style="160" customWidth="1"/>
    <col min="7457" max="7457" width="21.7109375" style="160" customWidth="1"/>
    <col min="7458" max="7668" width="9.140625" style="160"/>
    <col min="7669" max="7669" width="61.7109375" style="160" customWidth="1"/>
    <col min="7670" max="7670" width="18.5703125" style="160" customWidth="1"/>
    <col min="7671" max="7710" width="16.85546875" style="160" customWidth="1"/>
    <col min="7711" max="7712" width="18.5703125" style="160" customWidth="1"/>
    <col min="7713" max="7713" width="21.7109375" style="160" customWidth="1"/>
    <col min="7714" max="7924" width="9.140625" style="160"/>
    <col min="7925" max="7925" width="61.7109375" style="160" customWidth="1"/>
    <col min="7926" max="7926" width="18.5703125" style="160" customWidth="1"/>
    <col min="7927" max="7966" width="16.85546875" style="160" customWidth="1"/>
    <col min="7967" max="7968" width="18.5703125" style="160" customWidth="1"/>
    <col min="7969" max="7969" width="21.7109375" style="160" customWidth="1"/>
    <col min="7970" max="8180" width="9.140625" style="160"/>
    <col min="8181" max="8181" width="61.7109375" style="160" customWidth="1"/>
    <col min="8182" max="8182" width="18.5703125" style="160" customWidth="1"/>
    <col min="8183" max="8222" width="16.85546875" style="160" customWidth="1"/>
    <col min="8223" max="8224" width="18.5703125" style="160" customWidth="1"/>
    <col min="8225" max="8225" width="21.7109375" style="160" customWidth="1"/>
    <col min="8226" max="8436" width="9.140625" style="160"/>
    <col min="8437" max="8437" width="61.7109375" style="160" customWidth="1"/>
    <col min="8438" max="8438" width="18.5703125" style="160" customWidth="1"/>
    <col min="8439" max="8478" width="16.85546875" style="160" customWidth="1"/>
    <col min="8479" max="8480" width="18.5703125" style="160" customWidth="1"/>
    <col min="8481" max="8481" width="21.7109375" style="160" customWidth="1"/>
    <col min="8482" max="8692" width="9.140625" style="160"/>
    <col min="8693" max="8693" width="61.7109375" style="160" customWidth="1"/>
    <col min="8694" max="8694" width="18.5703125" style="160" customWidth="1"/>
    <col min="8695" max="8734" width="16.85546875" style="160" customWidth="1"/>
    <col min="8735" max="8736" width="18.5703125" style="160" customWidth="1"/>
    <col min="8737" max="8737" width="21.7109375" style="160" customWidth="1"/>
    <col min="8738" max="8948" width="9.140625" style="160"/>
    <col min="8949" max="8949" width="61.7109375" style="160" customWidth="1"/>
    <col min="8950" max="8950" width="18.5703125" style="160" customWidth="1"/>
    <col min="8951" max="8990" width="16.85546875" style="160" customWidth="1"/>
    <col min="8991" max="8992" width="18.5703125" style="160" customWidth="1"/>
    <col min="8993" max="8993" width="21.7109375" style="160" customWidth="1"/>
    <col min="8994" max="9204" width="9.140625" style="160"/>
    <col min="9205" max="9205" width="61.7109375" style="160" customWidth="1"/>
    <col min="9206" max="9206" width="18.5703125" style="160" customWidth="1"/>
    <col min="9207" max="9246" width="16.85546875" style="160" customWidth="1"/>
    <col min="9247" max="9248" width="18.5703125" style="160" customWidth="1"/>
    <col min="9249" max="9249" width="21.7109375" style="160" customWidth="1"/>
    <col min="9250" max="9460" width="9.140625" style="160"/>
    <col min="9461" max="9461" width="61.7109375" style="160" customWidth="1"/>
    <col min="9462" max="9462" width="18.5703125" style="160" customWidth="1"/>
    <col min="9463" max="9502" width="16.85546875" style="160" customWidth="1"/>
    <col min="9503" max="9504" width="18.5703125" style="160" customWidth="1"/>
    <col min="9505" max="9505" width="21.7109375" style="160" customWidth="1"/>
    <col min="9506" max="9716" width="9.140625" style="160"/>
    <col min="9717" max="9717" width="61.7109375" style="160" customWidth="1"/>
    <col min="9718" max="9718" width="18.5703125" style="160" customWidth="1"/>
    <col min="9719" max="9758" width="16.85546875" style="160" customWidth="1"/>
    <col min="9759" max="9760" width="18.5703125" style="160" customWidth="1"/>
    <col min="9761" max="9761" width="21.7109375" style="160" customWidth="1"/>
    <col min="9762" max="9972" width="9.140625" style="160"/>
    <col min="9973" max="9973" width="61.7109375" style="160" customWidth="1"/>
    <col min="9974" max="9974" width="18.5703125" style="160" customWidth="1"/>
    <col min="9975" max="10014" width="16.85546875" style="160" customWidth="1"/>
    <col min="10015" max="10016" width="18.5703125" style="160" customWidth="1"/>
    <col min="10017" max="10017" width="21.7109375" style="160" customWidth="1"/>
    <col min="10018" max="10228" width="9.140625" style="160"/>
    <col min="10229" max="10229" width="61.7109375" style="160" customWidth="1"/>
    <col min="10230" max="10230" width="18.5703125" style="160" customWidth="1"/>
    <col min="10231" max="10270" width="16.85546875" style="160" customWidth="1"/>
    <col min="10271" max="10272" width="18.5703125" style="160" customWidth="1"/>
    <col min="10273" max="10273" width="21.7109375" style="160" customWidth="1"/>
    <col min="10274" max="10484" width="9.140625" style="160"/>
    <col min="10485" max="10485" width="61.7109375" style="160" customWidth="1"/>
    <col min="10486" max="10486" width="18.5703125" style="160" customWidth="1"/>
    <col min="10487" max="10526" width="16.85546875" style="160" customWidth="1"/>
    <col min="10527" max="10528" width="18.5703125" style="160" customWidth="1"/>
    <col min="10529" max="10529" width="21.7109375" style="160" customWidth="1"/>
    <col min="10530" max="10740" width="9.140625" style="160"/>
    <col min="10741" max="10741" width="61.7109375" style="160" customWidth="1"/>
    <col min="10742" max="10742" width="18.5703125" style="160" customWidth="1"/>
    <col min="10743" max="10782" width="16.85546875" style="160" customWidth="1"/>
    <col min="10783" max="10784" width="18.5703125" style="160" customWidth="1"/>
    <col min="10785" max="10785" width="21.7109375" style="160" customWidth="1"/>
    <col min="10786" max="10996" width="9.140625" style="160"/>
    <col min="10997" max="10997" width="61.7109375" style="160" customWidth="1"/>
    <col min="10998" max="10998" width="18.5703125" style="160" customWidth="1"/>
    <col min="10999" max="11038" width="16.85546875" style="160" customWidth="1"/>
    <col min="11039" max="11040" width="18.5703125" style="160" customWidth="1"/>
    <col min="11041" max="11041" width="21.7109375" style="160" customWidth="1"/>
    <col min="11042" max="11252" width="9.140625" style="160"/>
    <col min="11253" max="11253" width="61.7109375" style="160" customWidth="1"/>
    <col min="11254" max="11254" width="18.5703125" style="160" customWidth="1"/>
    <col min="11255" max="11294" width="16.85546875" style="160" customWidth="1"/>
    <col min="11295" max="11296" width="18.5703125" style="160" customWidth="1"/>
    <col min="11297" max="11297" width="21.7109375" style="160" customWidth="1"/>
    <col min="11298" max="11508" width="9.140625" style="160"/>
    <col min="11509" max="11509" width="61.7109375" style="160" customWidth="1"/>
    <col min="11510" max="11510" width="18.5703125" style="160" customWidth="1"/>
    <col min="11511" max="11550" width="16.85546875" style="160" customWidth="1"/>
    <col min="11551" max="11552" width="18.5703125" style="160" customWidth="1"/>
    <col min="11553" max="11553" width="21.7109375" style="160" customWidth="1"/>
    <col min="11554" max="11764" width="9.140625" style="160"/>
    <col min="11765" max="11765" width="61.7109375" style="160" customWidth="1"/>
    <col min="11766" max="11766" width="18.5703125" style="160" customWidth="1"/>
    <col min="11767" max="11806" width="16.85546875" style="160" customWidth="1"/>
    <col min="11807" max="11808" width="18.5703125" style="160" customWidth="1"/>
    <col min="11809" max="11809" width="21.7109375" style="160" customWidth="1"/>
    <col min="11810" max="12020" width="9.140625" style="160"/>
    <col min="12021" max="12021" width="61.7109375" style="160" customWidth="1"/>
    <col min="12022" max="12022" width="18.5703125" style="160" customWidth="1"/>
    <col min="12023" max="12062" width="16.85546875" style="160" customWidth="1"/>
    <col min="12063" max="12064" width="18.5703125" style="160" customWidth="1"/>
    <col min="12065" max="12065" width="21.7109375" style="160" customWidth="1"/>
    <col min="12066" max="12276" width="9.140625" style="160"/>
    <col min="12277" max="12277" width="61.7109375" style="160" customWidth="1"/>
    <col min="12278" max="12278" width="18.5703125" style="160" customWidth="1"/>
    <col min="12279" max="12318" width="16.85546875" style="160" customWidth="1"/>
    <col min="12319" max="12320" width="18.5703125" style="160" customWidth="1"/>
    <col min="12321" max="12321" width="21.7109375" style="160" customWidth="1"/>
    <col min="12322" max="12532" width="9.140625" style="160"/>
    <col min="12533" max="12533" width="61.7109375" style="160" customWidth="1"/>
    <col min="12534" max="12534" width="18.5703125" style="160" customWidth="1"/>
    <col min="12535" max="12574" width="16.85546875" style="160" customWidth="1"/>
    <col min="12575" max="12576" width="18.5703125" style="160" customWidth="1"/>
    <col min="12577" max="12577" width="21.7109375" style="160" customWidth="1"/>
    <col min="12578" max="12788" width="9.140625" style="160"/>
    <col min="12789" max="12789" width="61.7109375" style="160" customWidth="1"/>
    <col min="12790" max="12790" width="18.5703125" style="160" customWidth="1"/>
    <col min="12791" max="12830" width="16.85546875" style="160" customWidth="1"/>
    <col min="12831" max="12832" width="18.5703125" style="160" customWidth="1"/>
    <col min="12833" max="12833" width="21.7109375" style="160" customWidth="1"/>
    <col min="12834" max="13044" width="9.140625" style="160"/>
    <col min="13045" max="13045" width="61.7109375" style="160" customWidth="1"/>
    <col min="13046" max="13046" width="18.5703125" style="160" customWidth="1"/>
    <col min="13047" max="13086" width="16.85546875" style="160" customWidth="1"/>
    <col min="13087" max="13088" width="18.5703125" style="160" customWidth="1"/>
    <col min="13089" max="13089" width="21.7109375" style="160" customWidth="1"/>
    <col min="13090" max="13300" width="9.140625" style="160"/>
    <col min="13301" max="13301" width="61.7109375" style="160" customWidth="1"/>
    <col min="13302" max="13302" width="18.5703125" style="160" customWidth="1"/>
    <col min="13303" max="13342" width="16.85546875" style="160" customWidth="1"/>
    <col min="13343" max="13344" width="18.5703125" style="160" customWidth="1"/>
    <col min="13345" max="13345" width="21.7109375" style="160" customWidth="1"/>
    <col min="13346" max="13556" width="9.140625" style="160"/>
    <col min="13557" max="13557" width="61.7109375" style="160" customWidth="1"/>
    <col min="13558" max="13558" width="18.5703125" style="160" customWidth="1"/>
    <col min="13559" max="13598" width="16.85546875" style="160" customWidth="1"/>
    <col min="13599" max="13600" width="18.5703125" style="160" customWidth="1"/>
    <col min="13601" max="13601" width="21.7109375" style="160" customWidth="1"/>
    <col min="13602" max="13812" width="9.140625" style="160"/>
    <col min="13813" max="13813" width="61.7109375" style="160" customWidth="1"/>
    <col min="13814" max="13814" width="18.5703125" style="160" customWidth="1"/>
    <col min="13815" max="13854" width="16.85546875" style="160" customWidth="1"/>
    <col min="13855" max="13856" width="18.5703125" style="160" customWidth="1"/>
    <col min="13857" max="13857" width="21.7109375" style="160" customWidth="1"/>
    <col min="13858" max="14068" width="9.140625" style="160"/>
    <col min="14069" max="14069" width="61.7109375" style="160" customWidth="1"/>
    <col min="14070" max="14070" width="18.5703125" style="160" customWidth="1"/>
    <col min="14071" max="14110" width="16.85546875" style="160" customWidth="1"/>
    <col min="14111" max="14112" width="18.5703125" style="160" customWidth="1"/>
    <col min="14113" max="14113" width="21.7109375" style="160" customWidth="1"/>
    <col min="14114" max="14324" width="9.140625" style="160"/>
    <col min="14325" max="14325" width="61.7109375" style="160" customWidth="1"/>
    <col min="14326" max="14326" width="18.5703125" style="160" customWidth="1"/>
    <col min="14327" max="14366" width="16.85546875" style="160" customWidth="1"/>
    <col min="14367" max="14368" width="18.5703125" style="160" customWidth="1"/>
    <col min="14369" max="14369" width="21.7109375" style="160" customWidth="1"/>
    <col min="14370" max="14580" width="9.140625" style="160"/>
    <col min="14581" max="14581" width="61.7109375" style="160" customWidth="1"/>
    <col min="14582" max="14582" width="18.5703125" style="160" customWidth="1"/>
    <col min="14583" max="14622" width="16.85546875" style="160" customWidth="1"/>
    <col min="14623" max="14624" width="18.5703125" style="160" customWidth="1"/>
    <col min="14625" max="14625" width="21.7109375" style="160" customWidth="1"/>
    <col min="14626" max="14836" width="9.140625" style="160"/>
    <col min="14837" max="14837" width="61.7109375" style="160" customWidth="1"/>
    <col min="14838" max="14838" width="18.5703125" style="160" customWidth="1"/>
    <col min="14839" max="14878" width="16.85546875" style="160" customWidth="1"/>
    <col min="14879" max="14880" width="18.5703125" style="160" customWidth="1"/>
    <col min="14881" max="14881" width="21.7109375" style="160" customWidth="1"/>
    <col min="14882" max="15092" width="9.140625" style="160"/>
    <col min="15093" max="15093" width="61.7109375" style="160" customWidth="1"/>
    <col min="15094" max="15094" width="18.5703125" style="160" customWidth="1"/>
    <col min="15095" max="15134" width="16.85546875" style="160" customWidth="1"/>
    <col min="15135" max="15136" width="18.5703125" style="160" customWidth="1"/>
    <col min="15137" max="15137" width="21.7109375" style="160" customWidth="1"/>
    <col min="15138" max="15348" width="9.140625" style="160"/>
    <col min="15349" max="15349" width="61.7109375" style="160" customWidth="1"/>
    <col min="15350" max="15350" width="18.5703125" style="160" customWidth="1"/>
    <col min="15351" max="15390" width="16.85546875" style="160" customWidth="1"/>
    <col min="15391" max="15392" width="18.5703125" style="160" customWidth="1"/>
    <col min="15393" max="15393" width="21.7109375" style="160" customWidth="1"/>
    <col min="15394" max="15604" width="9.140625" style="160"/>
    <col min="15605" max="15605" width="61.7109375" style="160" customWidth="1"/>
    <col min="15606" max="15606" width="18.5703125" style="160" customWidth="1"/>
    <col min="15607" max="15646" width="16.85546875" style="160" customWidth="1"/>
    <col min="15647" max="15648" width="18.5703125" style="160" customWidth="1"/>
    <col min="15649" max="15649" width="21.7109375" style="160" customWidth="1"/>
    <col min="15650" max="15860" width="9.140625" style="160"/>
    <col min="15861" max="15861" width="61.7109375" style="160" customWidth="1"/>
    <col min="15862" max="15862" width="18.5703125" style="160" customWidth="1"/>
    <col min="15863" max="15902" width="16.85546875" style="160" customWidth="1"/>
    <col min="15903" max="15904" width="18.5703125" style="160" customWidth="1"/>
    <col min="15905" max="15905" width="21.7109375" style="160" customWidth="1"/>
    <col min="15906" max="16116" width="9.140625" style="160"/>
    <col min="16117" max="16117" width="61.7109375" style="160" customWidth="1"/>
    <col min="16118" max="16118" width="18.5703125" style="160" customWidth="1"/>
    <col min="16119" max="16158" width="16.85546875" style="160" customWidth="1"/>
    <col min="16159" max="16160" width="18.5703125" style="160" customWidth="1"/>
    <col min="16161" max="16161" width="21.7109375" style="160" customWidth="1"/>
    <col min="16162" max="16384" width="9.140625" style="160"/>
  </cols>
  <sheetData>
    <row r="1" spans="1:39" ht="18.75" x14ac:dyDescent="0.2">
      <c r="A1" s="18"/>
      <c r="B1" s="12"/>
      <c r="C1" s="12"/>
      <c r="D1" s="12"/>
      <c r="G1" s="12"/>
      <c r="H1" s="35" t="s">
        <v>66</v>
      </c>
      <c r="I1" s="16"/>
      <c r="J1" s="16"/>
      <c r="K1" s="35"/>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row>
    <row r="2" spans="1:39" ht="18.75" x14ac:dyDescent="0.3">
      <c r="A2" s="18"/>
      <c r="B2" s="12"/>
      <c r="C2" s="12"/>
      <c r="D2" s="12"/>
      <c r="E2" s="160"/>
      <c r="F2" s="160"/>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row>
    <row r="3" spans="1:39" ht="18.75" x14ac:dyDescent="0.3">
      <c r="A3" s="17"/>
      <c r="B3" s="12"/>
      <c r="C3" s="12"/>
      <c r="D3" s="12"/>
      <c r="E3" s="160"/>
      <c r="F3" s="160"/>
      <c r="G3" s="12"/>
      <c r="H3" s="15" t="s">
        <v>343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row>
    <row r="4" spans="1:39"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row>
    <row r="5" spans="1:39" x14ac:dyDescent="0.2">
      <c r="A5" s="500" t="str">
        <f>'1. паспорт местоположение'!A5:C5</f>
        <v>Год раскрытия информации: 2022 год</v>
      </c>
      <c r="B5" s="500"/>
      <c r="C5" s="500"/>
      <c r="D5" s="500"/>
      <c r="E5" s="500"/>
      <c r="F5" s="500"/>
      <c r="G5" s="500"/>
      <c r="H5" s="500"/>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row>
    <row r="6" spans="1:39"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row>
    <row r="7" spans="1:39" ht="18.75" x14ac:dyDescent="0.2">
      <c r="A7" s="443" t="s">
        <v>7</v>
      </c>
      <c r="B7" s="443"/>
      <c r="C7" s="443"/>
      <c r="D7" s="443"/>
      <c r="E7" s="443"/>
      <c r="F7" s="443"/>
      <c r="G7" s="443"/>
      <c r="H7" s="443"/>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row>
    <row r="8" spans="1:39" ht="18.75" x14ac:dyDescent="0.2">
      <c r="A8" s="280"/>
      <c r="B8" s="280"/>
      <c r="C8" s="280"/>
      <c r="D8" s="280"/>
      <c r="E8" s="280"/>
      <c r="F8" s="280"/>
      <c r="G8" s="280"/>
      <c r="H8" s="280"/>
      <c r="I8" s="280"/>
      <c r="J8" s="280"/>
      <c r="K8" s="280"/>
      <c r="L8" s="144"/>
      <c r="M8" s="144"/>
      <c r="N8" s="144"/>
      <c r="O8" s="144"/>
      <c r="P8" s="144"/>
      <c r="Q8" s="144"/>
      <c r="R8" s="144"/>
      <c r="S8" s="144"/>
      <c r="T8" s="144"/>
      <c r="U8" s="144"/>
      <c r="V8" s="144"/>
      <c r="W8" s="144"/>
      <c r="X8" s="144"/>
      <c r="Y8" s="144"/>
      <c r="Z8" s="12"/>
      <c r="AA8" s="12"/>
      <c r="AB8" s="12"/>
      <c r="AC8" s="12"/>
      <c r="AD8" s="12"/>
      <c r="AE8" s="12"/>
      <c r="AF8" s="12"/>
      <c r="AG8" s="12"/>
      <c r="AH8" s="12"/>
      <c r="AI8" s="12"/>
      <c r="AJ8" s="12"/>
      <c r="AK8" s="12"/>
      <c r="AL8" s="12"/>
      <c r="AM8" s="12"/>
    </row>
    <row r="9" spans="1:39" ht="18.75" x14ac:dyDescent="0.2">
      <c r="A9" s="467" t="str">
        <f>'1. паспорт местоположение'!A9:C9</f>
        <v>Акционерное общество "Янтарьэнерго" ДЗО  ПАО "Россети"</v>
      </c>
      <c r="B9" s="467"/>
      <c r="C9" s="467"/>
      <c r="D9" s="467"/>
      <c r="E9" s="467"/>
      <c r="F9" s="467"/>
      <c r="G9" s="467"/>
      <c r="H9" s="467"/>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row>
    <row r="10" spans="1:39" x14ac:dyDescent="0.2">
      <c r="A10" s="448" t="s">
        <v>6</v>
      </c>
      <c r="B10" s="448"/>
      <c r="C10" s="448"/>
      <c r="D10" s="448"/>
      <c r="E10" s="448"/>
      <c r="F10" s="448"/>
      <c r="G10" s="448"/>
      <c r="H10" s="448"/>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row>
    <row r="11" spans="1:39" ht="18.75" x14ac:dyDescent="0.2">
      <c r="A11" s="280"/>
      <c r="B11" s="280"/>
      <c r="C11" s="280"/>
      <c r="D11" s="280"/>
      <c r="E11" s="280"/>
      <c r="F11" s="280"/>
      <c r="G11" s="280"/>
      <c r="H11" s="280"/>
      <c r="I11" s="280"/>
      <c r="J11" s="280"/>
      <c r="K11" s="280"/>
      <c r="L11" s="144"/>
      <c r="M11" s="144"/>
      <c r="N11" s="144"/>
      <c r="O11" s="144"/>
      <c r="P11" s="144"/>
      <c r="Q11" s="144"/>
      <c r="R11" s="144"/>
      <c r="S11" s="144"/>
      <c r="T11" s="144"/>
      <c r="U11" s="144"/>
      <c r="V11" s="144"/>
      <c r="W11" s="144"/>
      <c r="X11" s="144"/>
      <c r="Y11" s="144"/>
      <c r="Z11" s="12"/>
      <c r="AA11" s="12"/>
      <c r="AB11" s="12"/>
      <c r="AC11" s="12"/>
      <c r="AD11" s="12"/>
      <c r="AE11" s="12"/>
      <c r="AF11" s="12"/>
      <c r="AG11" s="12"/>
      <c r="AH11" s="12"/>
      <c r="AI11" s="12"/>
      <c r="AJ11" s="12"/>
      <c r="AK11" s="12"/>
      <c r="AL11" s="12"/>
      <c r="AM11" s="12"/>
    </row>
    <row r="12" spans="1:39" ht="18.75" x14ac:dyDescent="0.2">
      <c r="A12" s="467" t="str">
        <f>'1. паспорт местоположение'!A12:C12</f>
        <v>F_48-НН</v>
      </c>
      <c r="B12" s="467"/>
      <c r="C12" s="467"/>
      <c r="D12" s="467"/>
      <c r="E12" s="467"/>
      <c r="F12" s="467"/>
      <c r="G12" s="467"/>
      <c r="H12" s="467"/>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row>
    <row r="13" spans="1:39" x14ac:dyDescent="0.2">
      <c r="A13" s="448" t="s">
        <v>5</v>
      </c>
      <c r="B13" s="448"/>
      <c r="C13" s="448"/>
      <c r="D13" s="448"/>
      <c r="E13" s="448"/>
      <c r="F13" s="448"/>
      <c r="G13" s="448"/>
      <c r="H13" s="448"/>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row>
    <row r="14" spans="1:39" ht="18.75" x14ac:dyDescent="0.2">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9"/>
      <c r="AA14" s="9"/>
      <c r="AB14" s="9"/>
      <c r="AC14" s="9"/>
      <c r="AD14" s="9"/>
      <c r="AE14" s="9"/>
      <c r="AF14" s="9"/>
      <c r="AG14" s="9"/>
      <c r="AH14" s="9"/>
      <c r="AI14" s="9"/>
      <c r="AJ14" s="9"/>
      <c r="AK14" s="9"/>
      <c r="AL14" s="9"/>
      <c r="AM14" s="9"/>
    </row>
    <row r="15" spans="1:39" ht="18.75" x14ac:dyDescent="0.2">
      <c r="A15" s="467" t="str">
        <f>'1. паспорт местоположение'!A15:C15</f>
        <v>Организация интеллектуальной системы учета электроэнергии (приобретение компонентов интеллектуальной системы учета, выполнение проектных, строительно-монтажных и пусконаладочных работ по модернизации / созданию интеллектуальной системы учета электроэнергии)</v>
      </c>
      <c r="B15" s="467"/>
      <c r="C15" s="467"/>
      <c r="D15" s="467"/>
      <c r="E15" s="467"/>
      <c r="F15" s="467"/>
      <c r="G15" s="467"/>
      <c r="H15" s="467"/>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row>
    <row r="16" spans="1:39" x14ac:dyDescent="0.2">
      <c r="A16" s="448" t="s">
        <v>4</v>
      </c>
      <c r="B16" s="448"/>
      <c r="C16" s="448"/>
      <c r="D16" s="448"/>
      <c r="E16" s="448"/>
      <c r="F16" s="448"/>
      <c r="G16" s="448"/>
      <c r="H16" s="448"/>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row>
    <row r="17" spans="1:39" ht="18.75" x14ac:dyDescent="0.2">
      <c r="A17" s="282"/>
      <c r="B17" s="282"/>
      <c r="C17" s="282"/>
      <c r="D17" s="282"/>
      <c r="E17" s="282"/>
      <c r="F17" s="282"/>
      <c r="G17" s="282"/>
      <c r="H17" s="282"/>
      <c r="I17" s="282"/>
      <c r="J17" s="282"/>
      <c r="K17" s="282"/>
      <c r="L17" s="282"/>
      <c r="M17" s="282"/>
      <c r="N17" s="282"/>
      <c r="O17" s="282"/>
      <c r="P17" s="282"/>
      <c r="Q17" s="282"/>
      <c r="R17" s="282"/>
      <c r="S17" s="282"/>
      <c r="T17" s="282"/>
      <c r="U17" s="282"/>
      <c r="V17" s="282"/>
      <c r="W17" s="3"/>
      <c r="X17" s="3"/>
      <c r="Y17" s="3"/>
      <c r="Z17" s="3"/>
      <c r="AA17" s="3"/>
      <c r="AB17" s="3"/>
      <c r="AC17" s="3"/>
      <c r="AD17" s="3"/>
      <c r="AE17" s="3"/>
      <c r="AF17" s="3"/>
      <c r="AG17" s="3"/>
      <c r="AH17" s="3"/>
      <c r="AI17" s="3"/>
      <c r="AJ17" s="3"/>
      <c r="AK17" s="3"/>
      <c r="AL17" s="3"/>
      <c r="AM17" s="3"/>
    </row>
    <row r="18" spans="1:39" ht="18.75" x14ac:dyDescent="0.2">
      <c r="A18" s="467" t="s">
        <v>487</v>
      </c>
      <c r="B18" s="467"/>
      <c r="C18" s="467"/>
      <c r="D18" s="467"/>
      <c r="E18" s="467"/>
      <c r="F18" s="467"/>
      <c r="G18" s="467"/>
      <c r="H18" s="46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row>
    <row r="19" spans="1:39" x14ac:dyDescent="0.2">
      <c r="A19" s="162"/>
      <c r="Q19" s="163"/>
    </row>
    <row r="20" spans="1:39" x14ac:dyDescent="0.2">
      <c r="A20" s="162"/>
      <c r="Q20" s="163"/>
    </row>
    <row r="21" spans="1:39" x14ac:dyDescent="0.2">
      <c r="A21" s="162"/>
      <c r="Q21" s="163"/>
    </row>
    <row r="22" spans="1:39" x14ac:dyDescent="0.2">
      <c r="A22" s="162"/>
      <c r="Q22" s="163"/>
    </row>
    <row r="23" spans="1:39" x14ac:dyDescent="0.2">
      <c r="D23" s="165"/>
      <c r="Q23" s="163"/>
    </row>
    <row r="24" spans="1:39" ht="16.5" thickBot="1" x14ac:dyDescent="0.25">
      <c r="A24" s="166" t="s">
        <v>342</v>
      </c>
      <c r="B24" s="167" t="s">
        <v>1</v>
      </c>
      <c r="D24" s="168"/>
      <c r="E24" s="169"/>
      <c r="F24" s="169"/>
      <c r="G24" s="169"/>
      <c r="H24" s="169"/>
    </row>
    <row r="25" spans="1:39" x14ac:dyDescent="0.2">
      <c r="A25" s="170" t="s">
        <v>527</v>
      </c>
      <c r="B25" s="171">
        <f>'6.2. Паспорт фин осв ввод'!C30*1000000</f>
        <v>230853601.18000001</v>
      </c>
    </row>
    <row r="26" spans="1:39" x14ac:dyDescent="0.2">
      <c r="A26" s="172" t="s">
        <v>340</v>
      </c>
      <c r="B26" s="173">
        <v>0</v>
      </c>
    </row>
    <row r="27" spans="1:39" x14ac:dyDescent="0.2">
      <c r="A27" s="172" t="s">
        <v>338</v>
      </c>
      <c r="B27" s="173">
        <v>30</v>
      </c>
      <c r="D27" s="165" t="s">
        <v>341</v>
      </c>
    </row>
    <row r="28" spans="1:39" ht="16.149999999999999" customHeight="1" thickBot="1" x14ac:dyDescent="0.25">
      <c r="A28" s="174" t="s">
        <v>336</v>
      </c>
      <c r="B28" s="175">
        <v>1</v>
      </c>
      <c r="D28" s="489" t="s">
        <v>339</v>
      </c>
      <c r="E28" s="490"/>
      <c r="F28" s="491"/>
      <c r="G28" s="498">
        <f>IF(SUM(B92:L92)=0,"не окупается",SUM(B92:L92))</f>
        <v>4.093771728695053</v>
      </c>
      <c r="H28" s="499"/>
    </row>
    <row r="29" spans="1:39" ht="15.6" customHeight="1" x14ac:dyDescent="0.2">
      <c r="A29" s="170" t="s">
        <v>334</v>
      </c>
      <c r="B29" s="171">
        <f>B25*0.01</f>
        <v>2308536.0118</v>
      </c>
      <c r="D29" s="489" t="s">
        <v>337</v>
      </c>
      <c r="E29" s="490"/>
      <c r="F29" s="491"/>
      <c r="G29" s="498">
        <f>IF(SUM(B93:L93)=0,"не окупается",SUM(B93:L93))</f>
        <v>4.093771728695053</v>
      </c>
      <c r="H29" s="499"/>
    </row>
    <row r="30" spans="1:39" ht="27.6" customHeight="1" x14ac:dyDescent="0.2">
      <c r="A30" s="172" t="s">
        <v>528</v>
      </c>
      <c r="B30" s="173">
        <v>4</v>
      </c>
      <c r="D30" s="489" t="s">
        <v>335</v>
      </c>
      <c r="E30" s="490"/>
      <c r="F30" s="491"/>
      <c r="G30" s="492">
        <f>S90</f>
        <v>1242895763.1619408</v>
      </c>
      <c r="H30" s="493"/>
    </row>
    <row r="31" spans="1:39" x14ac:dyDescent="0.2">
      <c r="A31" s="172" t="s">
        <v>333</v>
      </c>
      <c r="B31" s="173">
        <v>1</v>
      </c>
      <c r="D31" s="494"/>
      <c r="E31" s="495"/>
      <c r="F31" s="496"/>
      <c r="G31" s="494"/>
      <c r="H31" s="496"/>
    </row>
    <row r="32" spans="1:39" x14ac:dyDescent="0.2">
      <c r="A32" s="172" t="s">
        <v>311</v>
      </c>
      <c r="B32" s="173">
        <v>0</v>
      </c>
    </row>
    <row r="33" spans="1:39" x14ac:dyDescent="0.2">
      <c r="A33" s="172" t="s">
        <v>332</v>
      </c>
      <c r="B33" s="173">
        <v>1</v>
      </c>
    </row>
    <row r="34" spans="1:39" x14ac:dyDescent="0.2">
      <c r="A34" s="172" t="s">
        <v>331</v>
      </c>
      <c r="B34" s="173">
        <v>1</v>
      </c>
    </row>
    <row r="35" spans="1:39" x14ac:dyDescent="0.2">
      <c r="A35" s="268" t="s">
        <v>587</v>
      </c>
      <c r="B35" s="269">
        <v>2.1999999999999999E-2</v>
      </c>
    </row>
    <row r="36" spans="1:39" ht="16.5" thickBot="1" x14ac:dyDescent="0.25">
      <c r="A36" s="174" t="s">
        <v>303</v>
      </c>
      <c r="B36" s="176">
        <v>0.2</v>
      </c>
    </row>
    <row r="37" spans="1:39" x14ac:dyDescent="0.2">
      <c r="A37" s="170" t="s">
        <v>526</v>
      </c>
      <c r="B37" s="171">
        <v>0</v>
      </c>
    </row>
    <row r="38" spans="1:39" x14ac:dyDescent="0.2">
      <c r="A38" s="172" t="s">
        <v>330</v>
      </c>
      <c r="B38" s="173"/>
    </row>
    <row r="39" spans="1:39" ht="16.5" thickBot="1" x14ac:dyDescent="0.25">
      <c r="A39" s="177" t="s">
        <v>329</v>
      </c>
      <c r="B39" s="178"/>
    </row>
    <row r="40" spans="1:39" x14ac:dyDescent="0.2">
      <c r="A40" s="179" t="s">
        <v>529</v>
      </c>
      <c r="B40" s="180">
        <v>1</v>
      </c>
    </row>
    <row r="41" spans="1:39" x14ac:dyDescent="0.2">
      <c r="A41" s="181" t="s">
        <v>328</v>
      </c>
      <c r="B41" s="182"/>
    </row>
    <row r="42" spans="1:39" x14ac:dyDescent="0.2">
      <c r="A42" s="181" t="s">
        <v>327</v>
      </c>
      <c r="B42" s="183"/>
    </row>
    <row r="43" spans="1:39" x14ac:dyDescent="0.2">
      <c r="A43" s="181" t="s">
        <v>326</v>
      </c>
      <c r="B43" s="183">
        <v>0</v>
      </c>
    </row>
    <row r="44" spans="1:39" x14ac:dyDescent="0.2">
      <c r="A44" s="181" t="s">
        <v>325</v>
      </c>
      <c r="B44" s="183">
        <v>0.13</v>
      </c>
    </row>
    <row r="45" spans="1:39" x14ac:dyDescent="0.2">
      <c r="A45" s="181" t="s">
        <v>324</v>
      </c>
      <c r="B45" s="183">
        <f>1-B43</f>
        <v>1</v>
      </c>
    </row>
    <row r="46" spans="1:39" ht="16.5" thickBot="1" x14ac:dyDescent="0.25">
      <c r="A46" s="184" t="s">
        <v>323</v>
      </c>
      <c r="B46" s="185">
        <f>B45*B44+B43*B42*(1-B36)</f>
        <v>0.13</v>
      </c>
      <c r="C46" s="186"/>
    </row>
    <row r="47" spans="1:39" s="189" customFormat="1" x14ac:dyDescent="0.2">
      <c r="A47" s="187" t="s">
        <v>322</v>
      </c>
      <c r="B47" s="188">
        <f>B61</f>
        <v>1</v>
      </c>
      <c r="C47" s="188">
        <f t="shared" ref="C47:AM47" si="0">C61</f>
        <v>2</v>
      </c>
      <c r="D47" s="188">
        <f t="shared" si="0"/>
        <v>3</v>
      </c>
      <c r="E47" s="188">
        <f t="shared" si="0"/>
        <v>4</v>
      </c>
      <c r="F47" s="188">
        <f t="shared" si="0"/>
        <v>5</v>
      </c>
      <c r="G47" s="188">
        <f t="shared" si="0"/>
        <v>6</v>
      </c>
      <c r="H47" s="188">
        <f t="shared" si="0"/>
        <v>7</v>
      </c>
      <c r="I47" s="188">
        <f t="shared" si="0"/>
        <v>8</v>
      </c>
      <c r="J47" s="188">
        <f t="shared" si="0"/>
        <v>9</v>
      </c>
      <c r="K47" s="188">
        <f t="shared" si="0"/>
        <v>10</v>
      </c>
      <c r="L47" s="188">
        <f t="shared" si="0"/>
        <v>11</v>
      </c>
      <c r="M47" s="188">
        <f t="shared" si="0"/>
        <v>12</v>
      </c>
      <c r="N47" s="188">
        <f t="shared" si="0"/>
        <v>13</v>
      </c>
      <c r="O47" s="188">
        <f t="shared" si="0"/>
        <v>14</v>
      </c>
      <c r="P47" s="188">
        <f t="shared" si="0"/>
        <v>15</v>
      </c>
      <c r="Q47" s="188">
        <f t="shared" si="0"/>
        <v>16</v>
      </c>
      <c r="R47" s="188">
        <f t="shared" si="0"/>
        <v>17</v>
      </c>
      <c r="S47" s="188">
        <f t="shared" si="0"/>
        <v>18</v>
      </c>
      <c r="T47" s="188">
        <f t="shared" si="0"/>
        <v>19</v>
      </c>
      <c r="U47" s="188">
        <f t="shared" si="0"/>
        <v>20</v>
      </c>
      <c r="V47" s="188">
        <f t="shared" si="0"/>
        <v>21</v>
      </c>
      <c r="W47" s="188">
        <f t="shared" si="0"/>
        <v>22</v>
      </c>
      <c r="X47" s="188">
        <f t="shared" si="0"/>
        <v>23</v>
      </c>
      <c r="Y47" s="188">
        <f t="shared" si="0"/>
        <v>24</v>
      </c>
      <c r="Z47" s="188">
        <f t="shared" si="0"/>
        <v>25</v>
      </c>
      <c r="AA47" s="188">
        <f t="shared" si="0"/>
        <v>26</v>
      </c>
      <c r="AB47" s="188">
        <f t="shared" si="0"/>
        <v>27</v>
      </c>
      <c r="AC47" s="188">
        <f t="shared" si="0"/>
        <v>28</v>
      </c>
      <c r="AD47" s="188">
        <f t="shared" si="0"/>
        <v>29</v>
      </c>
      <c r="AE47" s="188">
        <f t="shared" si="0"/>
        <v>30</v>
      </c>
      <c r="AF47" s="188">
        <f t="shared" si="0"/>
        <v>31</v>
      </c>
      <c r="AG47" s="188">
        <f t="shared" si="0"/>
        <v>32</v>
      </c>
      <c r="AH47" s="188">
        <f t="shared" si="0"/>
        <v>33</v>
      </c>
      <c r="AI47" s="188">
        <f t="shared" si="0"/>
        <v>34</v>
      </c>
      <c r="AJ47" s="188">
        <f t="shared" si="0"/>
        <v>35</v>
      </c>
      <c r="AK47" s="188">
        <f t="shared" si="0"/>
        <v>36</v>
      </c>
      <c r="AL47" s="188">
        <f t="shared" si="0"/>
        <v>37</v>
      </c>
      <c r="AM47" s="188">
        <f t="shared" si="0"/>
        <v>38</v>
      </c>
    </row>
    <row r="48" spans="1:39" s="189" customFormat="1" x14ac:dyDescent="0.2">
      <c r="A48" s="190" t="s">
        <v>321</v>
      </c>
      <c r="B48" s="286">
        <f t="shared" ref="B48:AM48" si="1">B104</f>
        <v>0</v>
      </c>
      <c r="C48" s="286">
        <f t="shared" si="1"/>
        <v>0</v>
      </c>
      <c r="D48" s="286">
        <f t="shared" si="1"/>
        <v>0</v>
      </c>
      <c r="E48" s="286">
        <f t="shared" si="1"/>
        <v>0</v>
      </c>
      <c r="F48" s="286">
        <f t="shared" si="1"/>
        <v>0</v>
      </c>
      <c r="G48" s="286">
        <f t="shared" si="1"/>
        <v>0.05</v>
      </c>
      <c r="H48" s="286">
        <f t="shared" si="1"/>
        <v>4.3999999999999997E-2</v>
      </c>
      <c r="I48" s="286">
        <f t="shared" si="1"/>
        <v>4.2000000000000003E-2</v>
      </c>
      <c r="J48" s="286">
        <f t="shared" si="1"/>
        <v>4.2999999999999997E-2</v>
      </c>
      <c r="K48" s="286">
        <f t="shared" si="1"/>
        <v>4.3999999999999997E-2</v>
      </c>
      <c r="L48" s="286">
        <f t="shared" si="1"/>
        <v>4.3999999999999997E-2</v>
      </c>
      <c r="M48" s="286">
        <f t="shared" si="1"/>
        <v>4.2999999999999997E-2</v>
      </c>
      <c r="N48" s="286">
        <f t="shared" si="1"/>
        <v>4.2000000000000003E-2</v>
      </c>
      <c r="O48" s="286">
        <f t="shared" si="1"/>
        <v>4.1000000000000002E-2</v>
      </c>
      <c r="P48" s="286">
        <f t="shared" si="1"/>
        <v>0.04</v>
      </c>
      <c r="Q48" s="286">
        <f t="shared" si="1"/>
        <v>0.04</v>
      </c>
      <c r="R48" s="286">
        <f t="shared" si="1"/>
        <v>0.04</v>
      </c>
      <c r="S48" s="286">
        <f t="shared" si="1"/>
        <v>0.04</v>
      </c>
      <c r="T48" s="286">
        <f t="shared" si="1"/>
        <v>0.04</v>
      </c>
      <c r="U48" s="286">
        <f t="shared" si="1"/>
        <v>0.04</v>
      </c>
      <c r="V48" s="286">
        <f t="shared" si="1"/>
        <v>0.04</v>
      </c>
      <c r="W48" s="286">
        <f t="shared" si="1"/>
        <v>0.04</v>
      </c>
      <c r="X48" s="286">
        <f t="shared" si="1"/>
        <v>0.04</v>
      </c>
      <c r="Y48" s="286">
        <f t="shared" si="1"/>
        <v>0.04</v>
      </c>
      <c r="Z48" s="286">
        <f t="shared" si="1"/>
        <v>0.04</v>
      </c>
      <c r="AA48" s="286">
        <f t="shared" si="1"/>
        <v>0.04</v>
      </c>
      <c r="AB48" s="286">
        <f t="shared" si="1"/>
        <v>0.04</v>
      </c>
      <c r="AC48" s="286">
        <f t="shared" si="1"/>
        <v>0.04</v>
      </c>
      <c r="AD48" s="286">
        <f t="shared" si="1"/>
        <v>0.04</v>
      </c>
      <c r="AE48" s="286">
        <f t="shared" si="1"/>
        <v>0.04</v>
      </c>
      <c r="AF48" s="286">
        <f t="shared" si="1"/>
        <v>0.04</v>
      </c>
      <c r="AG48" s="286">
        <f t="shared" si="1"/>
        <v>0.04</v>
      </c>
      <c r="AH48" s="286">
        <f t="shared" si="1"/>
        <v>0.04</v>
      </c>
      <c r="AI48" s="286">
        <f t="shared" si="1"/>
        <v>0.04</v>
      </c>
      <c r="AJ48" s="286">
        <f t="shared" si="1"/>
        <v>0.04</v>
      </c>
      <c r="AK48" s="286">
        <f t="shared" si="1"/>
        <v>0.04</v>
      </c>
      <c r="AL48" s="286">
        <f t="shared" si="1"/>
        <v>0.04</v>
      </c>
      <c r="AM48" s="286">
        <f t="shared" si="1"/>
        <v>0.04</v>
      </c>
    </row>
    <row r="49" spans="1:39" s="189" customFormat="1" x14ac:dyDescent="0.2">
      <c r="A49" s="190" t="s">
        <v>320</v>
      </c>
      <c r="B49" s="286">
        <f t="shared" ref="B49:AM49" si="2">B105</f>
        <v>0</v>
      </c>
      <c r="C49" s="286">
        <f t="shared" si="2"/>
        <v>0</v>
      </c>
      <c r="D49" s="286">
        <f t="shared" si="2"/>
        <v>0</v>
      </c>
      <c r="E49" s="286">
        <f t="shared" si="2"/>
        <v>0</v>
      </c>
      <c r="F49" s="286">
        <f t="shared" si="2"/>
        <v>0</v>
      </c>
      <c r="G49" s="286">
        <f t="shared" si="2"/>
        <v>5.0000000000000044E-2</v>
      </c>
      <c r="H49" s="286">
        <f t="shared" si="2"/>
        <v>9.6200000000000063E-2</v>
      </c>
      <c r="I49" s="286">
        <f t="shared" si="2"/>
        <v>0.14224040000000016</v>
      </c>
      <c r="J49" s="286">
        <f t="shared" si="2"/>
        <v>0.19135673720000002</v>
      </c>
      <c r="K49" s="286">
        <f t="shared" si="2"/>
        <v>0.24377643363680002</v>
      </c>
      <c r="L49" s="286">
        <f t="shared" si="2"/>
        <v>0.29850259671681934</v>
      </c>
      <c r="M49" s="286">
        <f t="shared" si="2"/>
        <v>0.35433820837564256</v>
      </c>
      <c r="N49" s="286">
        <f t="shared" si="2"/>
        <v>0.41122041312741953</v>
      </c>
      <c r="O49" s="286">
        <f t="shared" si="2"/>
        <v>0.46908045006564358</v>
      </c>
      <c r="P49" s="286">
        <f t="shared" si="2"/>
        <v>0.52784366806826943</v>
      </c>
      <c r="Q49" s="286">
        <f t="shared" si="2"/>
        <v>0.58895741479100017</v>
      </c>
      <c r="R49" s="286">
        <f t="shared" si="2"/>
        <v>0.65251571138264031</v>
      </c>
      <c r="S49" s="286">
        <f t="shared" si="2"/>
        <v>0.71861633983794593</v>
      </c>
      <c r="T49" s="286">
        <f t="shared" si="2"/>
        <v>0.78736099343146382</v>
      </c>
      <c r="U49" s="286">
        <f t="shared" si="2"/>
        <v>0.85885543316872237</v>
      </c>
      <c r="V49" s="286">
        <f t="shared" si="2"/>
        <v>0.93320965049547122</v>
      </c>
      <c r="W49" s="286">
        <f t="shared" si="2"/>
        <v>1.0105380365152903</v>
      </c>
      <c r="X49" s="286">
        <f t="shared" si="2"/>
        <v>1.0909595579759022</v>
      </c>
      <c r="Y49" s="286">
        <f t="shared" si="2"/>
        <v>1.1745979402949382</v>
      </c>
      <c r="Z49" s="286">
        <f t="shared" si="2"/>
        <v>1.2615818579067359</v>
      </c>
      <c r="AA49" s="286">
        <f t="shared" si="2"/>
        <v>1.3520451322230054</v>
      </c>
      <c r="AB49" s="286">
        <f t="shared" si="2"/>
        <v>1.4461269375119259</v>
      </c>
      <c r="AC49" s="286">
        <f t="shared" si="2"/>
        <v>1.543972015012403</v>
      </c>
      <c r="AD49" s="286">
        <f t="shared" si="2"/>
        <v>1.6457308956128993</v>
      </c>
      <c r="AE49" s="286">
        <f t="shared" si="2"/>
        <v>1.7515601314374152</v>
      </c>
      <c r="AF49" s="286">
        <f t="shared" si="2"/>
        <v>1.8616225366949117</v>
      </c>
      <c r="AG49" s="286">
        <f t="shared" si="2"/>
        <v>1.9760874381627085</v>
      </c>
      <c r="AH49" s="286">
        <f t="shared" si="2"/>
        <v>2.0951309356892169</v>
      </c>
      <c r="AI49" s="286">
        <f t="shared" si="2"/>
        <v>2.2189361731167856</v>
      </c>
      <c r="AJ49" s="286">
        <f t="shared" si="2"/>
        <v>2.3476936200414573</v>
      </c>
      <c r="AK49" s="286">
        <f t="shared" si="2"/>
        <v>2.4816013648431157</v>
      </c>
      <c r="AL49" s="286">
        <f t="shared" si="2"/>
        <v>2.6208654194368406</v>
      </c>
      <c r="AM49" s="286">
        <f t="shared" si="2"/>
        <v>2.7657000362143145</v>
      </c>
    </row>
    <row r="50" spans="1:39" s="189" customFormat="1" ht="16.5" thickBot="1" x14ac:dyDescent="0.25">
      <c r="A50" s="191" t="s">
        <v>530</v>
      </c>
      <c r="B50" s="192">
        <f>B51*B52+B51*B53</f>
        <v>7830114.0351385251</v>
      </c>
      <c r="C50" s="192">
        <f>C51*C52+C51*C53</f>
        <v>8464353.2719847448</v>
      </c>
      <c r="D50" s="192">
        <f>D51*D52+D51*D53</f>
        <v>43860069.328761876</v>
      </c>
      <c r="E50" s="192">
        <f t="shared" ref="E50:H50" si="3">E51*E52+E51*E53</f>
        <v>80165486.846048951</v>
      </c>
      <c r="F50" s="192">
        <f t="shared" si="3"/>
        <v>84517592.335908592</v>
      </c>
      <c r="G50" s="192">
        <f t="shared" si="3"/>
        <v>133916430.22403392</v>
      </c>
      <c r="H50" s="192">
        <f t="shared" si="3"/>
        <v>221838572.01293778</v>
      </c>
      <c r="I50" s="192">
        <f>I51*I52+I51*I53</f>
        <v>231171972.11761048</v>
      </c>
      <c r="J50" s="260">
        <f>I50*(1+J48)</f>
        <v>241112366.9186677</v>
      </c>
      <c r="K50" s="260">
        <f>J50*(1+K48)</f>
        <v>251721311.0630891</v>
      </c>
      <c r="L50" s="260">
        <f t="shared" ref="L50:AM50" si="4">K50*(1+L48)</f>
        <v>262797048.74986503</v>
      </c>
      <c r="M50" s="260">
        <f t="shared" si="4"/>
        <v>274097321.84610921</v>
      </c>
      <c r="N50" s="260">
        <f t="shared" si="4"/>
        <v>285609409.36364579</v>
      </c>
      <c r="O50" s="260">
        <f t="shared" si="4"/>
        <v>297319395.14755523</v>
      </c>
      <c r="P50" s="260">
        <f t="shared" si="4"/>
        <v>309212170.95345747</v>
      </c>
      <c r="Q50" s="260">
        <f t="shared" si="4"/>
        <v>321580657.79159576</v>
      </c>
      <c r="R50" s="260">
        <f t="shared" si="4"/>
        <v>334443884.10325962</v>
      </c>
      <c r="S50" s="260">
        <f t="shared" si="4"/>
        <v>347821639.46739</v>
      </c>
      <c r="T50" s="260">
        <f t="shared" si="4"/>
        <v>361734505.0460856</v>
      </c>
      <c r="U50" s="260">
        <f t="shared" si="4"/>
        <v>376203885.24792904</v>
      </c>
      <c r="V50" s="260">
        <f t="shared" si="4"/>
        <v>391252040.65784621</v>
      </c>
      <c r="W50" s="260">
        <f t="shared" si="4"/>
        <v>406902122.28416008</v>
      </c>
      <c r="X50" s="260">
        <f t="shared" si="4"/>
        <v>423178207.1755265</v>
      </c>
      <c r="Y50" s="260">
        <f t="shared" si="4"/>
        <v>440105335.4625476</v>
      </c>
      <c r="Z50" s="260">
        <f t="shared" si="4"/>
        <v>457709548.88104951</v>
      </c>
      <c r="AA50" s="260">
        <f t="shared" si="4"/>
        <v>476017930.83629149</v>
      </c>
      <c r="AB50" s="260">
        <f t="shared" si="4"/>
        <v>495058648.06974316</v>
      </c>
      <c r="AC50" s="260">
        <f t="shared" si="4"/>
        <v>514860993.99253291</v>
      </c>
      <c r="AD50" s="260">
        <f t="shared" si="4"/>
        <v>535455433.75223422</v>
      </c>
      <c r="AE50" s="260">
        <f t="shared" si="4"/>
        <v>556873651.10232365</v>
      </c>
      <c r="AF50" s="260">
        <f t="shared" si="4"/>
        <v>579148597.14641666</v>
      </c>
      <c r="AG50" s="260">
        <f t="shared" si="4"/>
        <v>602314541.03227329</v>
      </c>
      <c r="AH50" s="260">
        <f t="shared" si="4"/>
        <v>626407122.6735642</v>
      </c>
      <c r="AI50" s="260">
        <f t="shared" si="4"/>
        <v>651463407.5805068</v>
      </c>
      <c r="AJ50" s="260">
        <f t="shared" si="4"/>
        <v>677521943.88372707</v>
      </c>
      <c r="AK50" s="260">
        <f t="shared" si="4"/>
        <v>704622821.63907623</v>
      </c>
      <c r="AL50" s="260">
        <f t="shared" si="4"/>
        <v>732807734.50463927</v>
      </c>
      <c r="AM50" s="260">
        <f t="shared" si="4"/>
        <v>762120043.88482487</v>
      </c>
    </row>
    <row r="51" spans="1:39" s="189" customFormat="1" x14ac:dyDescent="0.2">
      <c r="A51" s="262" t="s">
        <v>550</v>
      </c>
      <c r="B51" s="263">
        <f>'Приложение № 1'!I15*1000</f>
        <v>1787155</v>
      </c>
      <c r="C51" s="263">
        <f>'Приложение № 1'!I19*1000+'5. анализ эконом эфф'!B51</f>
        <v>1787155</v>
      </c>
      <c r="D51" s="263">
        <f>'Приложение № 1'!I24*1000+'5. анализ эконом эфф'!C51</f>
        <v>8930155</v>
      </c>
      <c r="E51" s="263">
        <f>'Приложение № 1'!I29*1000+'5. анализ эконом эфф'!D51</f>
        <v>15566155</v>
      </c>
      <c r="F51" s="263">
        <f>'Приложение № 1'!I31*1000+'5. анализ эконом эфф'!E51</f>
        <v>15566155</v>
      </c>
      <c r="G51" s="263">
        <f>'Приложение № 1'!I40*1000+'5. анализ эконом эфф'!F51</f>
        <v>23688765</v>
      </c>
      <c r="H51" s="263">
        <f>'Приложение № 1'!I59*1000+'5. анализ эконом эфф'!G51</f>
        <v>37689465</v>
      </c>
      <c r="I51" s="263">
        <f>'Приложение № 1'!I61*1000+'5. анализ эконом эфф'!H51</f>
        <v>37721695</v>
      </c>
      <c r="J51" s="263">
        <f t="shared" ref="J51:R51" si="5">I51</f>
        <v>37721695</v>
      </c>
      <c r="K51" s="263">
        <f t="shared" si="5"/>
        <v>37721695</v>
      </c>
      <c r="L51" s="263">
        <f t="shared" si="5"/>
        <v>37721695</v>
      </c>
      <c r="M51" s="263">
        <f t="shared" si="5"/>
        <v>37721695</v>
      </c>
      <c r="N51" s="263">
        <f t="shared" si="5"/>
        <v>37721695</v>
      </c>
      <c r="O51" s="263">
        <f t="shared" si="5"/>
        <v>37721695</v>
      </c>
      <c r="P51" s="263">
        <f t="shared" si="5"/>
        <v>37721695</v>
      </c>
      <c r="Q51" s="263">
        <f t="shared" si="5"/>
        <v>37721695</v>
      </c>
      <c r="R51" s="263">
        <f t="shared" si="5"/>
        <v>37721695</v>
      </c>
      <c r="S51" s="263">
        <f t="shared" ref="S51" si="6">R51</f>
        <v>37721695</v>
      </c>
      <c r="T51" s="263">
        <f t="shared" ref="T51" si="7">S51</f>
        <v>37721695</v>
      </c>
      <c r="U51" s="263">
        <f t="shared" ref="U51" si="8">T51</f>
        <v>37721695</v>
      </c>
      <c r="V51" s="263">
        <f t="shared" ref="V51" si="9">U51</f>
        <v>37721695</v>
      </c>
      <c r="W51" s="263">
        <f t="shared" ref="W51" si="10">V51</f>
        <v>37721695</v>
      </c>
      <c r="X51" s="263">
        <f t="shared" ref="X51" si="11">W51</f>
        <v>37721695</v>
      </c>
      <c r="Y51" s="263">
        <f t="shared" ref="Y51" si="12">X51</f>
        <v>37721695</v>
      </c>
      <c r="Z51" s="263">
        <f t="shared" ref="Z51" si="13">Y51</f>
        <v>37721695</v>
      </c>
      <c r="AA51" s="263">
        <f t="shared" ref="AA51" si="14">Z51</f>
        <v>37721695</v>
      </c>
      <c r="AB51" s="263">
        <f t="shared" ref="AB51" si="15">AA51</f>
        <v>37721695</v>
      </c>
      <c r="AC51" s="263">
        <f t="shared" ref="AC51" si="16">AB51</f>
        <v>37721695</v>
      </c>
      <c r="AD51" s="263">
        <f t="shared" ref="AD51" si="17">AC51</f>
        <v>37721695</v>
      </c>
      <c r="AE51" s="263">
        <f t="shared" ref="AE51" si="18">AD51</f>
        <v>37721695</v>
      </c>
      <c r="AF51" s="263">
        <f t="shared" ref="AF51" si="19">AE51</f>
        <v>37721695</v>
      </c>
      <c r="AG51" s="263">
        <f t="shared" ref="AG51" si="20">AF51</f>
        <v>37721695</v>
      </c>
      <c r="AH51" s="263">
        <f t="shared" ref="AH51" si="21">AG51</f>
        <v>37721695</v>
      </c>
      <c r="AI51" s="263">
        <f t="shared" ref="AI51" si="22">AH51</f>
        <v>37721695</v>
      </c>
      <c r="AJ51" s="263">
        <f t="shared" ref="AJ51" si="23">AI51</f>
        <v>37721695</v>
      </c>
      <c r="AK51" s="263">
        <f t="shared" ref="AK51" si="24">AJ51</f>
        <v>37721695</v>
      </c>
      <c r="AL51" s="263">
        <f t="shared" ref="AL51" si="25">AK51</f>
        <v>37721695</v>
      </c>
      <c r="AM51" s="263">
        <f t="shared" ref="AM51" si="26">AL51</f>
        <v>37721695</v>
      </c>
    </row>
    <row r="52" spans="1:39" s="189" customFormat="1" x14ac:dyDescent="0.2">
      <c r="A52" s="190" t="s">
        <v>588</v>
      </c>
      <c r="B52" s="271">
        <f>C52/1.081</f>
        <v>2.6075028388715937</v>
      </c>
      <c r="C52" s="271">
        <f>D52/1.037</f>
        <v>2.8187105688201926</v>
      </c>
      <c r="D52" s="271">
        <f>E52/1.049</f>
        <v>2.9230028598665396</v>
      </c>
      <c r="E52" s="271">
        <f>3.06623</f>
        <v>3.06623</v>
      </c>
      <c r="F52" s="271">
        <f>3.06623*1.044</f>
        <v>3.2011441199999999</v>
      </c>
      <c r="G52" s="271">
        <f>F52*1.042</f>
        <v>3.3355921730400002</v>
      </c>
      <c r="H52" s="271">
        <f>G52*1.042</f>
        <v>3.4756870443076804</v>
      </c>
      <c r="I52" s="271">
        <f>H52*1.042</f>
        <v>3.6216659001686029</v>
      </c>
      <c r="J52" s="261"/>
      <c r="K52" s="261"/>
      <c r="L52" s="261"/>
      <c r="M52" s="271"/>
      <c r="N52" s="271"/>
      <c r="O52" s="271"/>
      <c r="P52" s="271"/>
      <c r="Q52" s="261"/>
      <c r="R52" s="261"/>
      <c r="S52" s="261"/>
      <c r="T52" s="261"/>
      <c r="U52" s="261"/>
      <c r="V52" s="261"/>
      <c r="W52" s="261"/>
      <c r="X52" s="271"/>
      <c r="Y52" s="271"/>
      <c r="Z52" s="271"/>
      <c r="AA52" s="271"/>
      <c r="AB52" s="261"/>
      <c r="AC52" s="261"/>
      <c r="AD52" s="261"/>
      <c r="AE52" s="261"/>
      <c r="AF52" s="261"/>
      <c r="AG52" s="261"/>
      <c r="AH52" s="261"/>
      <c r="AI52" s="271"/>
      <c r="AJ52" s="271"/>
      <c r="AK52" s="271"/>
      <c r="AL52" s="271"/>
      <c r="AM52" s="261"/>
    </row>
    <row r="53" spans="1:39" s="189" customFormat="1" ht="16.5" thickBot="1" x14ac:dyDescent="0.25">
      <c r="A53" s="191" t="s">
        <v>551</v>
      </c>
      <c r="B53" s="302">
        <f>C53/1.081</f>
        <v>1.7738261645660069</v>
      </c>
      <c r="C53" s="302">
        <f>D53/1.037</f>
        <v>1.9175060838958535</v>
      </c>
      <c r="D53" s="270">
        <v>1.9884538089999999</v>
      </c>
      <c r="E53" s="270">
        <v>2.0837564190000002</v>
      </c>
      <c r="F53" s="302">
        <v>2.2284299999999999</v>
      </c>
      <c r="G53" s="302">
        <v>2.3175700000000004</v>
      </c>
      <c r="H53" s="302">
        <v>2.4102700000000001</v>
      </c>
      <c r="I53" s="302">
        <v>2.5066899999999999</v>
      </c>
      <c r="J53" s="192"/>
      <c r="K53" s="192"/>
      <c r="L53" s="192"/>
      <c r="M53" s="270"/>
      <c r="N53" s="270"/>
      <c r="O53" s="270"/>
      <c r="P53" s="270"/>
      <c r="Q53" s="192"/>
      <c r="R53" s="192"/>
      <c r="S53" s="192"/>
      <c r="T53" s="192"/>
      <c r="U53" s="192"/>
      <c r="V53" s="192"/>
      <c r="W53" s="192"/>
      <c r="X53" s="270"/>
      <c r="Y53" s="270"/>
      <c r="Z53" s="270"/>
      <c r="AA53" s="270"/>
      <c r="AB53" s="192"/>
      <c r="AC53" s="192"/>
      <c r="AD53" s="192"/>
      <c r="AE53" s="192"/>
      <c r="AF53" s="192"/>
      <c r="AG53" s="192"/>
      <c r="AH53" s="192"/>
      <c r="AI53" s="270"/>
      <c r="AJ53" s="270"/>
      <c r="AK53" s="270"/>
      <c r="AL53" s="270"/>
      <c r="AM53" s="192"/>
    </row>
    <row r="54" spans="1:39" ht="16.5" thickBot="1" x14ac:dyDescent="0.25"/>
    <row r="55" spans="1:39" x14ac:dyDescent="0.2">
      <c r="A55" s="193" t="s">
        <v>319</v>
      </c>
      <c r="B55" s="194">
        <f>B61</f>
        <v>1</v>
      </c>
      <c r="C55" s="194">
        <f t="shared" ref="C55:AM55" si="27">C61</f>
        <v>2</v>
      </c>
      <c r="D55" s="194">
        <f t="shared" si="27"/>
        <v>3</v>
      </c>
      <c r="E55" s="194">
        <f t="shared" si="27"/>
        <v>4</v>
      </c>
      <c r="F55" s="194">
        <f t="shared" si="27"/>
        <v>5</v>
      </c>
      <c r="G55" s="194">
        <f t="shared" si="27"/>
        <v>6</v>
      </c>
      <c r="H55" s="194">
        <f t="shared" si="27"/>
        <v>7</v>
      </c>
      <c r="I55" s="194">
        <f t="shared" si="27"/>
        <v>8</v>
      </c>
      <c r="J55" s="194">
        <f t="shared" si="27"/>
        <v>9</v>
      </c>
      <c r="K55" s="194">
        <f t="shared" si="27"/>
        <v>10</v>
      </c>
      <c r="L55" s="194">
        <f t="shared" si="27"/>
        <v>11</v>
      </c>
      <c r="M55" s="194">
        <f t="shared" si="27"/>
        <v>12</v>
      </c>
      <c r="N55" s="194">
        <f t="shared" si="27"/>
        <v>13</v>
      </c>
      <c r="O55" s="194">
        <f t="shared" si="27"/>
        <v>14</v>
      </c>
      <c r="P55" s="194">
        <f t="shared" si="27"/>
        <v>15</v>
      </c>
      <c r="Q55" s="194">
        <f t="shared" si="27"/>
        <v>16</v>
      </c>
      <c r="R55" s="194">
        <f t="shared" si="27"/>
        <v>17</v>
      </c>
      <c r="S55" s="194">
        <f t="shared" si="27"/>
        <v>18</v>
      </c>
      <c r="T55" s="194">
        <f t="shared" si="27"/>
        <v>19</v>
      </c>
      <c r="U55" s="194">
        <f t="shared" si="27"/>
        <v>20</v>
      </c>
      <c r="V55" s="194">
        <f t="shared" si="27"/>
        <v>21</v>
      </c>
      <c r="W55" s="194">
        <f t="shared" si="27"/>
        <v>22</v>
      </c>
      <c r="X55" s="194">
        <f t="shared" si="27"/>
        <v>23</v>
      </c>
      <c r="Y55" s="194">
        <f t="shared" si="27"/>
        <v>24</v>
      </c>
      <c r="Z55" s="194">
        <f t="shared" si="27"/>
        <v>25</v>
      </c>
      <c r="AA55" s="194">
        <f t="shared" si="27"/>
        <v>26</v>
      </c>
      <c r="AB55" s="194">
        <f t="shared" si="27"/>
        <v>27</v>
      </c>
      <c r="AC55" s="194">
        <f t="shared" si="27"/>
        <v>28</v>
      </c>
      <c r="AD55" s="194">
        <f t="shared" si="27"/>
        <v>29</v>
      </c>
      <c r="AE55" s="194">
        <f t="shared" si="27"/>
        <v>30</v>
      </c>
      <c r="AF55" s="194">
        <f t="shared" si="27"/>
        <v>31</v>
      </c>
      <c r="AG55" s="194">
        <f t="shared" si="27"/>
        <v>32</v>
      </c>
      <c r="AH55" s="194">
        <f t="shared" si="27"/>
        <v>33</v>
      </c>
      <c r="AI55" s="194">
        <f t="shared" si="27"/>
        <v>34</v>
      </c>
      <c r="AJ55" s="194">
        <f t="shared" si="27"/>
        <v>35</v>
      </c>
      <c r="AK55" s="194">
        <f t="shared" si="27"/>
        <v>36</v>
      </c>
      <c r="AL55" s="194">
        <f t="shared" si="27"/>
        <v>37</v>
      </c>
      <c r="AM55" s="194">
        <f t="shared" si="27"/>
        <v>38</v>
      </c>
    </row>
    <row r="56" spans="1:39" x14ac:dyDescent="0.2">
      <c r="A56" s="195" t="s">
        <v>318</v>
      </c>
      <c r="B56" s="287">
        <v>0</v>
      </c>
      <c r="C56" s="287">
        <f t="shared" ref="C56:AM56" si="28">B56+B57-B58</f>
        <v>0</v>
      </c>
      <c r="D56" s="287">
        <f t="shared" si="28"/>
        <v>0</v>
      </c>
      <c r="E56" s="287">
        <f t="shared" si="28"/>
        <v>0</v>
      </c>
      <c r="F56" s="287">
        <f t="shared" si="28"/>
        <v>0</v>
      </c>
      <c r="G56" s="287">
        <f t="shared" si="28"/>
        <v>0</v>
      </c>
      <c r="H56" s="287">
        <f t="shared" si="28"/>
        <v>0</v>
      </c>
      <c r="I56" s="287">
        <f t="shared" si="28"/>
        <v>0</v>
      </c>
      <c r="J56" s="287">
        <f t="shared" si="28"/>
        <v>0</v>
      </c>
      <c r="K56" s="287">
        <f t="shared" si="28"/>
        <v>0</v>
      </c>
      <c r="L56" s="287">
        <f t="shared" si="28"/>
        <v>0</v>
      </c>
      <c r="M56" s="287">
        <f t="shared" si="28"/>
        <v>0</v>
      </c>
      <c r="N56" s="287">
        <f t="shared" si="28"/>
        <v>0</v>
      </c>
      <c r="O56" s="287">
        <f t="shared" si="28"/>
        <v>0</v>
      </c>
      <c r="P56" s="287">
        <f t="shared" si="28"/>
        <v>0</v>
      </c>
      <c r="Q56" s="287">
        <f t="shared" si="28"/>
        <v>0</v>
      </c>
      <c r="R56" s="287">
        <f t="shared" si="28"/>
        <v>0</v>
      </c>
      <c r="S56" s="287">
        <f t="shared" si="28"/>
        <v>0</v>
      </c>
      <c r="T56" s="287">
        <f t="shared" si="28"/>
        <v>0</v>
      </c>
      <c r="U56" s="287">
        <f t="shared" si="28"/>
        <v>0</v>
      </c>
      <c r="V56" s="287">
        <f t="shared" si="28"/>
        <v>0</v>
      </c>
      <c r="W56" s="287">
        <f t="shared" si="28"/>
        <v>0</v>
      </c>
      <c r="X56" s="287">
        <f t="shared" si="28"/>
        <v>0</v>
      </c>
      <c r="Y56" s="287">
        <f t="shared" si="28"/>
        <v>0</v>
      </c>
      <c r="Z56" s="287">
        <f t="shared" si="28"/>
        <v>0</v>
      </c>
      <c r="AA56" s="287">
        <f t="shared" si="28"/>
        <v>0</v>
      </c>
      <c r="AB56" s="287">
        <f t="shared" si="28"/>
        <v>0</v>
      </c>
      <c r="AC56" s="287">
        <f t="shared" si="28"/>
        <v>0</v>
      </c>
      <c r="AD56" s="287">
        <f t="shared" si="28"/>
        <v>0</v>
      </c>
      <c r="AE56" s="287">
        <f t="shared" si="28"/>
        <v>0</v>
      </c>
      <c r="AF56" s="287">
        <f t="shared" si="28"/>
        <v>0</v>
      </c>
      <c r="AG56" s="287">
        <f t="shared" si="28"/>
        <v>0</v>
      </c>
      <c r="AH56" s="287">
        <f t="shared" si="28"/>
        <v>0</v>
      </c>
      <c r="AI56" s="287">
        <f t="shared" si="28"/>
        <v>0</v>
      </c>
      <c r="AJ56" s="287">
        <f t="shared" si="28"/>
        <v>0</v>
      </c>
      <c r="AK56" s="287">
        <f t="shared" si="28"/>
        <v>0</v>
      </c>
      <c r="AL56" s="287">
        <f t="shared" si="28"/>
        <v>0</v>
      </c>
      <c r="AM56" s="287">
        <f t="shared" si="28"/>
        <v>0</v>
      </c>
    </row>
    <row r="57" spans="1:39" x14ac:dyDescent="0.2">
      <c r="A57" s="195" t="s">
        <v>317</v>
      </c>
      <c r="B57" s="287">
        <f>B25*B28*B43*1.18</f>
        <v>0</v>
      </c>
      <c r="C57" s="287">
        <v>0</v>
      </c>
      <c r="D57" s="287">
        <v>0</v>
      </c>
      <c r="E57" s="287">
        <v>0</v>
      </c>
      <c r="F57" s="287">
        <v>0</v>
      </c>
      <c r="G57" s="287">
        <v>0</v>
      </c>
      <c r="H57" s="287">
        <v>0</v>
      </c>
      <c r="I57" s="287">
        <v>0</v>
      </c>
      <c r="J57" s="287">
        <v>0</v>
      </c>
      <c r="K57" s="287">
        <v>0</v>
      </c>
      <c r="L57" s="287">
        <v>0</v>
      </c>
      <c r="M57" s="287">
        <v>0</v>
      </c>
      <c r="N57" s="287">
        <v>0</v>
      </c>
      <c r="O57" s="287">
        <v>0</v>
      </c>
      <c r="P57" s="287">
        <v>0</v>
      </c>
      <c r="Q57" s="287">
        <v>0</v>
      </c>
      <c r="R57" s="287">
        <v>0</v>
      </c>
      <c r="S57" s="287">
        <v>0</v>
      </c>
      <c r="T57" s="287">
        <v>0</v>
      </c>
      <c r="U57" s="287">
        <v>0</v>
      </c>
      <c r="V57" s="287">
        <v>0</v>
      </c>
      <c r="W57" s="287">
        <v>0</v>
      </c>
      <c r="X57" s="287">
        <v>0</v>
      </c>
      <c r="Y57" s="287">
        <v>0</v>
      </c>
      <c r="Z57" s="287">
        <v>0</v>
      </c>
      <c r="AA57" s="287">
        <v>0</v>
      </c>
      <c r="AB57" s="287">
        <v>0</v>
      </c>
      <c r="AC57" s="287">
        <v>0</v>
      </c>
      <c r="AD57" s="287">
        <v>0</v>
      </c>
      <c r="AE57" s="287">
        <v>0</v>
      </c>
      <c r="AF57" s="287">
        <v>0</v>
      </c>
      <c r="AG57" s="287">
        <v>0</v>
      </c>
      <c r="AH57" s="287">
        <v>0</v>
      </c>
      <c r="AI57" s="287">
        <v>0</v>
      </c>
      <c r="AJ57" s="287">
        <v>0</v>
      </c>
      <c r="AK57" s="287">
        <v>0</v>
      </c>
      <c r="AL57" s="287">
        <v>0</v>
      </c>
      <c r="AM57" s="287">
        <v>0</v>
      </c>
    </row>
    <row r="58" spans="1:39" x14ac:dyDescent="0.2">
      <c r="A58" s="195" t="s">
        <v>316</v>
      </c>
      <c r="B58" s="287">
        <f>$B$57/$B$40</f>
        <v>0</v>
      </c>
      <c r="C58" s="287">
        <f t="shared" ref="C58:AM58" si="29">IF(ROUND(C56,1)=0,0,B58+C57/$B$40)</f>
        <v>0</v>
      </c>
      <c r="D58" s="287">
        <f t="shared" si="29"/>
        <v>0</v>
      </c>
      <c r="E58" s="287">
        <f t="shared" si="29"/>
        <v>0</v>
      </c>
      <c r="F58" s="287">
        <f t="shared" si="29"/>
        <v>0</v>
      </c>
      <c r="G58" s="287">
        <f t="shared" si="29"/>
        <v>0</v>
      </c>
      <c r="H58" s="287">
        <f t="shared" si="29"/>
        <v>0</v>
      </c>
      <c r="I58" s="287">
        <f t="shared" si="29"/>
        <v>0</v>
      </c>
      <c r="J58" s="287">
        <f t="shared" si="29"/>
        <v>0</v>
      </c>
      <c r="K58" s="287">
        <f t="shared" si="29"/>
        <v>0</v>
      </c>
      <c r="L58" s="287">
        <f t="shared" si="29"/>
        <v>0</v>
      </c>
      <c r="M58" s="287">
        <f t="shared" si="29"/>
        <v>0</v>
      </c>
      <c r="N58" s="287">
        <f t="shared" si="29"/>
        <v>0</v>
      </c>
      <c r="O58" s="287">
        <f t="shared" si="29"/>
        <v>0</v>
      </c>
      <c r="P58" s="287">
        <f t="shared" si="29"/>
        <v>0</v>
      </c>
      <c r="Q58" s="287">
        <f t="shared" si="29"/>
        <v>0</v>
      </c>
      <c r="R58" s="287">
        <f t="shared" si="29"/>
        <v>0</v>
      </c>
      <c r="S58" s="287">
        <f t="shared" si="29"/>
        <v>0</v>
      </c>
      <c r="T58" s="287">
        <f t="shared" si="29"/>
        <v>0</v>
      </c>
      <c r="U58" s="287">
        <f t="shared" si="29"/>
        <v>0</v>
      </c>
      <c r="V58" s="287">
        <f t="shared" si="29"/>
        <v>0</v>
      </c>
      <c r="W58" s="287">
        <f t="shared" si="29"/>
        <v>0</v>
      </c>
      <c r="X58" s="287">
        <f t="shared" si="29"/>
        <v>0</v>
      </c>
      <c r="Y58" s="287">
        <f t="shared" si="29"/>
        <v>0</v>
      </c>
      <c r="Z58" s="287">
        <f t="shared" si="29"/>
        <v>0</v>
      </c>
      <c r="AA58" s="287">
        <f t="shared" si="29"/>
        <v>0</v>
      </c>
      <c r="AB58" s="287">
        <f t="shared" si="29"/>
        <v>0</v>
      </c>
      <c r="AC58" s="287">
        <f t="shared" si="29"/>
        <v>0</v>
      </c>
      <c r="AD58" s="287">
        <f t="shared" si="29"/>
        <v>0</v>
      </c>
      <c r="AE58" s="287">
        <f t="shared" si="29"/>
        <v>0</v>
      </c>
      <c r="AF58" s="287">
        <f t="shared" si="29"/>
        <v>0</v>
      </c>
      <c r="AG58" s="287">
        <f t="shared" si="29"/>
        <v>0</v>
      </c>
      <c r="AH58" s="287">
        <f t="shared" si="29"/>
        <v>0</v>
      </c>
      <c r="AI58" s="287">
        <f t="shared" si="29"/>
        <v>0</v>
      </c>
      <c r="AJ58" s="287">
        <f t="shared" si="29"/>
        <v>0</v>
      </c>
      <c r="AK58" s="287">
        <f t="shared" si="29"/>
        <v>0</v>
      </c>
      <c r="AL58" s="287">
        <f t="shared" si="29"/>
        <v>0</v>
      </c>
      <c r="AM58" s="287">
        <f t="shared" si="29"/>
        <v>0</v>
      </c>
    </row>
    <row r="59" spans="1:39" ht="16.5" thickBot="1" x14ac:dyDescent="0.25">
      <c r="A59" s="196" t="s">
        <v>315</v>
      </c>
      <c r="B59" s="197">
        <f t="shared" ref="B59:AM59" si="30">AVERAGE(SUM(B56:B57),(SUM(B56:B57)-B58))*$B$42</f>
        <v>0</v>
      </c>
      <c r="C59" s="197">
        <f t="shared" si="30"/>
        <v>0</v>
      </c>
      <c r="D59" s="197">
        <f t="shared" si="30"/>
        <v>0</v>
      </c>
      <c r="E59" s="197">
        <f t="shared" si="30"/>
        <v>0</v>
      </c>
      <c r="F59" s="197">
        <f t="shared" si="30"/>
        <v>0</v>
      </c>
      <c r="G59" s="197">
        <f t="shared" si="30"/>
        <v>0</v>
      </c>
      <c r="H59" s="197">
        <f t="shared" si="30"/>
        <v>0</v>
      </c>
      <c r="I59" s="197">
        <f t="shared" si="30"/>
        <v>0</v>
      </c>
      <c r="J59" s="197">
        <f t="shared" si="30"/>
        <v>0</v>
      </c>
      <c r="K59" s="197">
        <f t="shared" si="30"/>
        <v>0</v>
      </c>
      <c r="L59" s="197">
        <f t="shared" si="30"/>
        <v>0</v>
      </c>
      <c r="M59" s="197">
        <f t="shared" si="30"/>
        <v>0</v>
      </c>
      <c r="N59" s="197">
        <f t="shared" si="30"/>
        <v>0</v>
      </c>
      <c r="O59" s="197">
        <f t="shared" si="30"/>
        <v>0</v>
      </c>
      <c r="P59" s="197">
        <f t="shared" si="30"/>
        <v>0</v>
      </c>
      <c r="Q59" s="197">
        <f t="shared" si="30"/>
        <v>0</v>
      </c>
      <c r="R59" s="197">
        <f t="shared" si="30"/>
        <v>0</v>
      </c>
      <c r="S59" s="197">
        <f t="shared" si="30"/>
        <v>0</v>
      </c>
      <c r="T59" s="197">
        <f t="shared" si="30"/>
        <v>0</v>
      </c>
      <c r="U59" s="197">
        <f t="shared" si="30"/>
        <v>0</v>
      </c>
      <c r="V59" s="197">
        <f t="shared" si="30"/>
        <v>0</v>
      </c>
      <c r="W59" s="197">
        <f t="shared" si="30"/>
        <v>0</v>
      </c>
      <c r="X59" s="197">
        <f t="shared" si="30"/>
        <v>0</v>
      </c>
      <c r="Y59" s="197">
        <f t="shared" si="30"/>
        <v>0</v>
      </c>
      <c r="Z59" s="197">
        <f t="shared" si="30"/>
        <v>0</v>
      </c>
      <c r="AA59" s="197">
        <f t="shared" si="30"/>
        <v>0</v>
      </c>
      <c r="AB59" s="197">
        <f t="shared" si="30"/>
        <v>0</v>
      </c>
      <c r="AC59" s="197">
        <f t="shared" si="30"/>
        <v>0</v>
      </c>
      <c r="AD59" s="197">
        <f t="shared" si="30"/>
        <v>0</v>
      </c>
      <c r="AE59" s="197">
        <f t="shared" si="30"/>
        <v>0</v>
      </c>
      <c r="AF59" s="197">
        <f t="shared" si="30"/>
        <v>0</v>
      </c>
      <c r="AG59" s="197">
        <f t="shared" si="30"/>
        <v>0</v>
      </c>
      <c r="AH59" s="197">
        <f t="shared" si="30"/>
        <v>0</v>
      </c>
      <c r="AI59" s="197">
        <f t="shared" si="30"/>
        <v>0</v>
      </c>
      <c r="AJ59" s="197">
        <f t="shared" si="30"/>
        <v>0</v>
      </c>
      <c r="AK59" s="197">
        <f t="shared" si="30"/>
        <v>0</v>
      </c>
      <c r="AL59" s="197">
        <f t="shared" si="30"/>
        <v>0</v>
      </c>
      <c r="AM59" s="197">
        <f t="shared" si="30"/>
        <v>0</v>
      </c>
    </row>
    <row r="60" spans="1:39" s="200" customFormat="1" ht="16.5" thickBot="1" x14ac:dyDescent="0.25">
      <c r="A60" s="198"/>
      <c r="B60" s="199"/>
      <c r="C60" s="199"/>
      <c r="D60" s="199"/>
      <c r="E60" s="199"/>
      <c r="F60" s="199"/>
      <c r="G60" s="199"/>
      <c r="H60" s="199"/>
      <c r="I60" s="199"/>
      <c r="J60" s="199"/>
      <c r="K60" s="199"/>
      <c r="L60" s="199"/>
      <c r="M60" s="199"/>
      <c r="N60" s="199"/>
      <c r="O60" s="199"/>
      <c r="P60" s="199"/>
      <c r="Q60" s="199"/>
      <c r="R60" s="199"/>
      <c r="S60" s="199"/>
      <c r="T60" s="199"/>
      <c r="U60" s="199"/>
      <c r="V60" s="199"/>
      <c r="W60" s="199"/>
      <c r="X60" s="199"/>
      <c r="Y60" s="199"/>
      <c r="Z60" s="199"/>
      <c r="AA60" s="199"/>
      <c r="AB60" s="199"/>
      <c r="AC60" s="199"/>
      <c r="AD60" s="199"/>
      <c r="AE60" s="199"/>
      <c r="AF60" s="199"/>
      <c r="AG60" s="199"/>
      <c r="AH60" s="199"/>
      <c r="AI60" s="199"/>
      <c r="AJ60" s="199"/>
      <c r="AK60" s="199"/>
      <c r="AL60" s="199"/>
      <c r="AM60" s="199"/>
    </row>
    <row r="61" spans="1:39" x14ac:dyDescent="0.2">
      <c r="A61" s="193" t="s">
        <v>531</v>
      </c>
      <c r="B61" s="194">
        <v>1</v>
      </c>
      <c r="C61" s="194">
        <f>B61+1</f>
        <v>2</v>
      </c>
      <c r="D61" s="194">
        <f t="shared" ref="D61:AM61" si="31">C61+1</f>
        <v>3</v>
      </c>
      <c r="E61" s="194">
        <f t="shared" si="31"/>
        <v>4</v>
      </c>
      <c r="F61" s="194">
        <f t="shared" si="31"/>
        <v>5</v>
      </c>
      <c r="G61" s="194">
        <f t="shared" si="31"/>
        <v>6</v>
      </c>
      <c r="H61" s="194">
        <f t="shared" si="31"/>
        <v>7</v>
      </c>
      <c r="I61" s="194">
        <f t="shared" si="31"/>
        <v>8</v>
      </c>
      <c r="J61" s="194">
        <f t="shared" si="31"/>
        <v>9</v>
      </c>
      <c r="K61" s="194">
        <f t="shared" si="31"/>
        <v>10</v>
      </c>
      <c r="L61" s="194">
        <f t="shared" si="31"/>
        <v>11</v>
      </c>
      <c r="M61" s="194">
        <f t="shared" si="31"/>
        <v>12</v>
      </c>
      <c r="N61" s="194">
        <f t="shared" si="31"/>
        <v>13</v>
      </c>
      <c r="O61" s="194">
        <f t="shared" si="31"/>
        <v>14</v>
      </c>
      <c r="P61" s="194">
        <f t="shared" si="31"/>
        <v>15</v>
      </c>
      <c r="Q61" s="194">
        <f t="shared" si="31"/>
        <v>16</v>
      </c>
      <c r="R61" s="194">
        <f t="shared" si="31"/>
        <v>17</v>
      </c>
      <c r="S61" s="194">
        <f t="shared" si="31"/>
        <v>18</v>
      </c>
      <c r="T61" s="194">
        <f t="shared" si="31"/>
        <v>19</v>
      </c>
      <c r="U61" s="194">
        <f t="shared" si="31"/>
        <v>20</v>
      </c>
      <c r="V61" s="194">
        <f t="shared" si="31"/>
        <v>21</v>
      </c>
      <c r="W61" s="194">
        <f t="shared" si="31"/>
        <v>22</v>
      </c>
      <c r="X61" s="194">
        <f t="shared" si="31"/>
        <v>23</v>
      </c>
      <c r="Y61" s="194">
        <f t="shared" si="31"/>
        <v>24</v>
      </c>
      <c r="Z61" s="194">
        <f t="shared" si="31"/>
        <v>25</v>
      </c>
      <c r="AA61" s="194">
        <f t="shared" si="31"/>
        <v>26</v>
      </c>
      <c r="AB61" s="194">
        <f t="shared" si="31"/>
        <v>27</v>
      </c>
      <c r="AC61" s="194">
        <f t="shared" si="31"/>
        <v>28</v>
      </c>
      <c r="AD61" s="194">
        <f t="shared" si="31"/>
        <v>29</v>
      </c>
      <c r="AE61" s="194">
        <f t="shared" si="31"/>
        <v>30</v>
      </c>
      <c r="AF61" s="194">
        <f t="shared" si="31"/>
        <v>31</v>
      </c>
      <c r="AG61" s="194">
        <f t="shared" si="31"/>
        <v>32</v>
      </c>
      <c r="AH61" s="194">
        <f t="shared" si="31"/>
        <v>33</v>
      </c>
      <c r="AI61" s="194">
        <f t="shared" si="31"/>
        <v>34</v>
      </c>
      <c r="AJ61" s="194">
        <f t="shared" si="31"/>
        <v>35</v>
      </c>
      <c r="AK61" s="194">
        <f t="shared" si="31"/>
        <v>36</v>
      </c>
      <c r="AL61" s="194">
        <f t="shared" si="31"/>
        <v>37</v>
      </c>
      <c r="AM61" s="194">
        <f t="shared" si="31"/>
        <v>38</v>
      </c>
    </row>
    <row r="62" spans="1:39" ht="14.25" x14ac:dyDescent="0.2">
      <c r="A62" s="201" t="s">
        <v>314</v>
      </c>
      <c r="B62" s="288">
        <f t="shared" ref="B62:AM62" si="32">B50*$B$28</f>
        <v>7830114.0351385251</v>
      </c>
      <c r="C62" s="288">
        <f t="shared" si="32"/>
        <v>8464353.2719847448</v>
      </c>
      <c r="D62" s="288">
        <f t="shared" si="32"/>
        <v>43860069.328761876</v>
      </c>
      <c r="E62" s="288">
        <f t="shared" si="32"/>
        <v>80165486.846048951</v>
      </c>
      <c r="F62" s="288">
        <f t="shared" si="32"/>
        <v>84517592.335908592</v>
      </c>
      <c r="G62" s="288">
        <f t="shared" si="32"/>
        <v>133916430.22403392</v>
      </c>
      <c r="H62" s="288">
        <f t="shared" si="32"/>
        <v>221838572.01293778</v>
      </c>
      <c r="I62" s="288">
        <f t="shared" si="32"/>
        <v>231171972.11761048</v>
      </c>
      <c r="J62" s="288">
        <f t="shared" si="32"/>
        <v>241112366.9186677</v>
      </c>
      <c r="K62" s="288">
        <f t="shared" si="32"/>
        <v>251721311.0630891</v>
      </c>
      <c r="L62" s="288">
        <f t="shared" si="32"/>
        <v>262797048.74986503</v>
      </c>
      <c r="M62" s="288">
        <f t="shared" si="32"/>
        <v>274097321.84610921</v>
      </c>
      <c r="N62" s="288">
        <f t="shared" si="32"/>
        <v>285609409.36364579</v>
      </c>
      <c r="O62" s="288">
        <f t="shared" si="32"/>
        <v>297319395.14755523</v>
      </c>
      <c r="P62" s="288">
        <f t="shared" si="32"/>
        <v>309212170.95345747</v>
      </c>
      <c r="Q62" s="288">
        <f t="shared" si="32"/>
        <v>321580657.79159576</v>
      </c>
      <c r="R62" s="288">
        <f t="shared" si="32"/>
        <v>334443884.10325962</v>
      </c>
      <c r="S62" s="288">
        <f t="shared" si="32"/>
        <v>347821639.46739</v>
      </c>
      <c r="T62" s="288">
        <f t="shared" si="32"/>
        <v>361734505.0460856</v>
      </c>
      <c r="U62" s="288">
        <f t="shared" si="32"/>
        <v>376203885.24792904</v>
      </c>
      <c r="V62" s="288">
        <f t="shared" si="32"/>
        <v>391252040.65784621</v>
      </c>
      <c r="W62" s="288">
        <f t="shared" si="32"/>
        <v>406902122.28416008</v>
      </c>
      <c r="X62" s="288">
        <f t="shared" si="32"/>
        <v>423178207.1755265</v>
      </c>
      <c r="Y62" s="288">
        <f t="shared" si="32"/>
        <v>440105335.4625476</v>
      </c>
      <c r="Z62" s="288">
        <f t="shared" si="32"/>
        <v>457709548.88104951</v>
      </c>
      <c r="AA62" s="288">
        <f t="shared" si="32"/>
        <v>476017930.83629149</v>
      </c>
      <c r="AB62" s="288">
        <f t="shared" si="32"/>
        <v>495058648.06974316</v>
      </c>
      <c r="AC62" s="288">
        <f t="shared" si="32"/>
        <v>514860993.99253291</v>
      </c>
      <c r="AD62" s="288">
        <f t="shared" si="32"/>
        <v>535455433.75223422</v>
      </c>
      <c r="AE62" s="288">
        <f t="shared" si="32"/>
        <v>556873651.10232365</v>
      </c>
      <c r="AF62" s="288">
        <f t="shared" si="32"/>
        <v>579148597.14641666</v>
      </c>
      <c r="AG62" s="288">
        <f t="shared" si="32"/>
        <v>602314541.03227329</v>
      </c>
      <c r="AH62" s="288">
        <f t="shared" si="32"/>
        <v>626407122.6735642</v>
      </c>
      <c r="AI62" s="288">
        <f t="shared" si="32"/>
        <v>651463407.5805068</v>
      </c>
      <c r="AJ62" s="288">
        <f t="shared" si="32"/>
        <v>677521943.88372707</v>
      </c>
      <c r="AK62" s="288">
        <f t="shared" si="32"/>
        <v>704622821.63907623</v>
      </c>
      <c r="AL62" s="288">
        <f t="shared" si="32"/>
        <v>732807734.50463927</v>
      </c>
      <c r="AM62" s="288">
        <f t="shared" si="32"/>
        <v>762120043.88482487</v>
      </c>
    </row>
    <row r="63" spans="1:39" x14ac:dyDescent="0.2">
      <c r="A63" s="195" t="s">
        <v>313</v>
      </c>
      <c r="B63" s="287">
        <f t="shared" ref="B63:Z63" si="33">SUM(B64:B68)</f>
        <v>0</v>
      </c>
      <c r="C63" s="287">
        <f t="shared" si="33"/>
        <v>0</v>
      </c>
      <c r="D63" s="287">
        <f>SUM(D64:D68)</f>
        <v>0</v>
      </c>
      <c r="E63" s="287">
        <f t="shared" si="33"/>
        <v>0</v>
      </c>
      <c r="F63" s="287">
        <f t="shared" si="33"/>
        <v>-1154268.0059</v>
      </c>
      <c r="G63" s="287">
        <f t="shared" si="33"/>
        <v>-1211981.406195</v>
      </c>
      <c r="H63" s="287">
        <f t="shared" si="33"/>
        <v>-1822044.3668173151</v>
      </c>
      <c r="I63" s="287">
        <f t="shared" si="33"/>
        <v>-2610534.0665575089</v>
      </c>
      <c r="J63" s="287">
        <f t="shared" si="33"/>
        <v>-2750289.9307267489</v>
      </c>
      <c r="K63" s="287">
        <f t="shared" si="33"/>
        <v>-2871302.6876787255</v>
      </c>
      <c r="L63" s="287">
        <f t="shared" si="33"/>
        <v>-2997640.00593659</v>
      </c>
      <c r="M63" s="287">
        <f t="shared" si="33"/>
        <v>-3126538.5261918632</v>
      </c>
      <c r="N63" s="287">
        <f t="shared" si="33"/>
        <v>-3257853.1442919215</v>
      </c>
      <c r="O63" s="287">
        <f t="shared" si="33"/>
        <v>-3391425.12320789</v>
      </c>
      <c r="P63" s="287">
        <f t="shared" si="33"/>
        <v>-3527082.1281362055</v>
      </c>
      <c r="Q63" s="287">
        <f t="shared" si="33"/>
        <v>-3668165.4132616539</v>
      </c>
      <c r="R63" s="287">
        <f t="shared" si="33"/>
        <v>-3814892.0297921202</v>
      </c>
      <c r="S63" s="287">
        <f t="shared" si="33"/>
        <v>-3967487.7109838049</v>
      </c>
      <c r="T63" s="287">
        <f t="shared" si="33"/>
        <v>-4126187.2194231576</v>
      </c>
      <c r="U63" s="287">
        <f t="shared" si="33"/>
        <v>-4291234.708200084</v>
      </c>
      <c r="V63" s="287">
        <f t="shared" si="33"/>
        <v>-4462884.0965280868</v>
      </c>
      <c r="W63" s="287">
        <f t="shared" si="33"/>
        <v>-4641399.4603892108</v>
      </c>
      <c r="X63" s="287">
        <f t="shared" si="33"/>
        <v>-4827055.4388047801</v>
      </c>
      <c r="Y63" s="287">
        <f t="shared" si="33"/>
        <v>-5020137.6563569708</v>
      </c>
      <c r="Z63" s="287">
        <f t="shared" si="33"/>
        <v>-5220943.1626112508</v>
      </c>
      <c r="AA63" s="287">
        <f t="shared" ref="AA63:AM63" si="34">SUM(AA64:AA68)</f>
        <v>-5429780.8891157005</v>
      </c>
      <c r="AB63" s="287">
        <f t="shared" si="34"/>
        <v>-5646972.1246803291</v>
      </c>
      <c r="AC63" s="287">
        <f t="shared" si="34"/>
        <v>-5872851.0096675428</v>
      </c>
      <c r="AD63" s="287">
        <f t="shared" si="34"/>
        <v>-6107765.0500542447</v>
      </c>
      <c r="AE63" s="287">
        <f t="shared" si="34"/>
        <v>-6352075.6520564146</v>
      </c>
      <c r="AF63" s="287">
        <f t="shared" si="34"/>
        <v>-6606158.6781386705</v>
      </c>
      <c r="AG63" s="287">
        <f t="shared" si="34"/>
        <v>-6870405.0252642184</v>
      </c>
      <c r="AH63" s="287">
        <f t="shared" si="34"/>
        <v>-7145221.2262747874</v>
      </c>
      <c r="AI63" s="287">
        <f t="shared" si="34"/>
        <v>-7431030.0753257787</v>
      </c>
      <c r="AJ63" s="287">
        <f t="shared" si="34"/>
        <v>-7728271.2783388104</v>
      </c>
      <c r="AK63" s="287">
        <f t="shared" si="34"/>
        <v>-8037402.1294723628</v>
      </c>
      <c r="AL63" s="287">
        <f t="shared" si="34"/>
        <v>-8358898.2146512577</v>
      </c>
      <c r="AM63" s="287">
        <f t="shared" si="34"/>
        <v>-8693254.1432373095</v>
      </c>
    </row>
    <row r="64" spans="1:39" x14ac:dyDescent="0.2">
      <c r="A64" s="202" t="s">
        <v>312</v>
      </c>
      <c r="B64" s="287"/>
      <c r="C64" s="287">
        <f>-IF(C$47&lt;=$B$30,0,$B$29*(1+C$49)*$B$28)</f>
        <v>0</v>
      </c>
      <c r="D64" s="287">
        <f>-IF(D$47&lt;=$B$30,0,$B$29*(1+D$49)*$B$28)</f>
        <v>0</v>
      </c>
      <c r="E64" s="287">
        <f t="shared" ref="E64:AM64" si="35">-IF(E$47&lt;=$B$30,0,$B$29*(1+E$49)*$B$28)</f>
        <v>0</v>
      </c>
      <c r="F64" s="287">
        <f>-IF(F$47&lt;=$B$30,0,$B$29*(1+F$49)*$B$28)*0.5</f>
        <v>-1154268.0059</v>
      </c>
      <c r="G64" s="287">
        <f>-IF(G$47&lt;=$B$30,0,$B$29*(1+G$49)*$B$28)*0.5</f>
        <v>-1211981.406195</v>
      </c>
      <c r="H64" s="287">
        <f>-IF(H$47&lt;=$B$30,0,$B$29*(1+H$49)*$B$28)*0.72</f>
        <v>-1822044.3668173151</v>
      </c>
      <c r="I64" s="287">
        <f>-IF(I$47&lt;=$B$30,0,$B$29*(1+I$49)*$B$28)*0.99</f>
        <v>-2610534.0665575089</v>
      </c>
      <c r="J64" s="287">
        <f t="shared" si="35"/>
        <v>-2750289.9307267489</v>
      </c>
      <c r="K64" s="287">
        <f t="shared" si="35"/>
        <v>-2871302.6876787255</v>
      </c>
      <c r="L64" s="287">
        <f t="shared" si="35"/>
        <v>-2997640.00593659</v>
      </c>
      <c r="M64" s="287">
        <f t="shared" si="35"/>
        <v>-3126538.5261918632</v>
      </c>
      <c r="N64" s="287">
        <f t="shared" si="35"/>
        <v>-3257853.1442919215</v>
      </c>
      <c r="O64" s="287">
        <f t="shared" si="35"/>
        <v>-3391425.12320789</v>
      </c>
      <c r="P64" s="287">
        <f t="shared" si="35"/>
        <v>-3527082.1281362055</v>
      </c>
      <c r="Q64" s="287">
        <f t="shared" si="35"/>
        <v>-3668165.4132616539</v>
      </c>
      <c r="R64" s="287">
        <f t="shared" si="35"/>
        <v>-3814892.0297921202</v>
      </c>
      <c r="S64" s="287">
        <f t="shared" si="35"/>
        <v>-3967487.7109838049</v>
      </c>
      <c r="T64" s="287">
        <f t="shared" si="35"/>
        <v>-4126187.2194231576</v>
      </c>
      <c r="U64" s="287">
        <f t="shared" si="35"/>
        <v>-4291234.708200084</v>
      </c>
      <c r="V64" s="287">
        <f t="shared" si="35"/>
        <v>-4462884.0965280868</v>
      </c>
      <c r="W64" s="287">
        <f t="shared" si="35"/>
        <v>-4641399.4603892108</v>
      </c>
      <c r="X64" s="287">
        <f t="shared" si="35"/>
        <v>-4827055.4388047801</v>
      </c>
      <c r="Y64" s="287">
        <f t="shared" si="35"/>
        <v>-5020137.6563569708</v>
      </c>
      <c r="Z64" s="287">
        <f t="shared" si="35"/>
        <v>-5220943.1626112508</v>
      </c>
      <c r="AA64" s="287">
        <f t="shared" si="35"/>
        <v>-5429780.8891157005</v>
      </c>
      <c r="AB64" s="287">
        <f t="shared" si="35"/>
        <v>-5646972.1246803291</v>
      </c>
      <c r="AC64" s="287">
        <f t="shared" si="35"/>
        <v>-5872851.0096675428</v>
      </c>
      <c r="AD64" s="287">
        <f t="shared" si="35"/>
        <v>-6107765.0500542447</v>
      </c>
      <c r="AE64" s="287">
        <f t="shared" si="35"/>
        <v>-6352075.6520564146</v>
      </c>
      <c r="AF64" s="287">
        <f t="shared" si="35"/>
        <v>-6606158.6781386705</v>
      </c>
      <c r="AG64" s="287">
        <f t="shared" si="35"/>
        <v>-6870405.0252642184</v>
      </c>
      <c r="AH64" s="287">
        <f t="shared" si="35"/>
        <v>-7145221.2262747874</v>
      </c>
      <c r="AI64" s="287">
        <f t="shared" si="35"/>
        <v>-7431030.0753257787</v>
      </c>
      <c r="AJ64" s="287">
        <f t="shared" si="35"/>
        <v>-7728271.2783388104</v>
      </c>
      <c r="AK64" s="287">
        <f t="shared" si="35"/>
        <v>-8037402.1294723628</v>
      </c>
      <c r="AL64" s="287">
        <f t="shared" si="35"/>
        <v>-8358898.2146512577</v>
      </c>
      <c r="AM64" s="287">
        <f t="shared" si="35"/>
        <v>-8693254.1432373095</v>
      </c>
    </row>
    <row r="65" spans="1:39" x14ac:dyDescent="0.2">
      <c r="A65" s="202" t="str">
        <f>A32</f>
        <v>Прочие расходы при эксплуатации объекта, руб. без НДС</v>
      </c>
      <c r="B65" s="287"/>
      <c r="C65" s="287"/>
      <c r="D65" s="287"/>
      <c r="E65" s="287"/>
      <c r="F65" s="287"/>
      <c r="G65" s="287"/>
      <c r="H65" s="287"/>
      <c r="I65" s="287"/>
      <c r="J65" s="287"/>
      <c r="K65" s="287"/>
      <c r="L65" s="287"/>
      <c r="M65" s="287"/>
      <c r="N65" s="287"/>
      <c r="O65" s="287"/>
      <c r="P65" s="287"/>
      <c r="Q65" s="287"/>
      <c r="R65" s="287"/>
      <c r="S65" s="287"/>
      <c r="T65" s="287"/>
      <c r="U65" s="287"/>
      <c r="V65" s="287"/>
      <c r="W65" s="287"/>
      <c r="X65" s="287"/>
      <c r="Y65" s="287"/>
      <c r="Z65" s="287"/>
      <c r="AA65" s="287"/>
      <c r="AB65" s="287"/>
      <c r="AC65" s="287"/>
      <c r="AD65" s="287"/>
      <c r="AE65" s="287"/>
      <c r="AF65" s="287"/>
      <c r="AG65" s="287"/>
      <c r="AH65" s="287"/>
      <c r="AI65" s="287"/>
      <c r="AJ65" s="287"/>
      <c r="AK65" s="287"/>
      <c r="AL65" s="287"/>
      <c r="AM65" s="287"/>
    </row>
    <row r="66" spans="1:39" x14ac:dyDescent="0.2">
      <c r="A66" s="202" t="s">
        <v>526</v>
      </c>
      <c r="B66" s="287"/>
      <c r="C66" s="287"/>
      <c r="D66" s="287"/>
      <c r="E66" s="287"/>
      <c r="F66" s="287"/>
      <c r="G66" s="287"/>
      <c r="H66" s="287"/>
      <c r="I66" s="287"/>
      <c r="J66" s="287"/>
      <c r="K66" s="287"/>
      <c r="L66" s="287"/>
      <c r="M66" s="287"/>
      <c r="N66" s="287"/>
      <c r="O66" s="287"/>
      <c r="P66" s="287"/>
      <c r="Q66" s="287"/>
      <c r="R66" s="287"/>
      <c r="S66" s="287"/>
      <c r="T66" s="287"/>
      <c r="U66" s="287"/>
      <c r="V66" s="287"/>
      <c r="W66" s="287"/>
      <c r="X66" s="287"/>
      <c r="Y66" s="287"/>
      <c r="Z66" s="287"/>
      <c r="AA66" s="287"/>
      <c r="AB66" s="287"/>
      <c r="AC66" s="287"/>
      <c r="AD66" s="287"/>
      <c r="AE66" s="287"/>
      <c r="AF66" s="287"/>
      <c r="AG66" s="287"/>
      <c r="AH66" s="287"/>
      <c r="AI66" s="287"/>
      <c r="AJ66" s="287"/>
      <c r="AK66" s="287"/>
      <c r="AL66" s="287"/>
      <c r="AM66" s="287"/>
    </row>
    <row r="67" spans="1:39" x14ac:dyDescent="0.2">
      <c r="A67" s="202" t="s">
        <v>526</v>
      </c>
      <c r="B67" s="287"/>
      <c r="C67" s="287"/>
      <c r="D67" s="287"/>
      <c r="E67" s="287"/>
      <c r="F67" s="287"/>
      <c r="G67" s="287"/>
      <c r="H67" s="287"/>
      <c r="I67" s="287"/>
      <c r="J67" s="287"/>
      <c r="K67" s="287"/>
      <c r="L67" s="287"/>
      <c r="M67" s="287"/>
      <c r="N67" s="287"/>
      <c r="O67" s="287"/>
      <c r="P67" s="287"/>
      <c r="Q67" s="287"/>
      <c r="R67" s="287"/>
      <c r="S67" s="287"/>
      <c r="T67" s="287"/>
      <c r="U67" s="287"/>
      <c r="V67" s="287"/>
      <c r="W67" s="287"/>
      <c r="X67" s="287"/>
      <c r="Y67" s="287"/>
      <c r="Z67" s="287"/>
      <c r="AA67" s="287"/>
      <c r="AB67" s="287"/>
      <c r="AC67" s="287"/>
      <c r="AD67" s="287"/>
      <c r="AE67" s="287"/>
      <c r="AF67" s="287"/>
      <c r="AG67" s="287"/>
      <c r="AH67" s="287"/>
      <c r="AI67" s="287"/>
      <c r="AJ67" s="287"/>
      <c r="AK67" s="287"/>
      <c r="AL67" s="287"/>
      <c r="AM67" s="287"/>
    </row>
    <row r="68" spans="1:39" ht="31.5" x14ac:dyDescent="0.2">
      <c r="A68" s="202" t="s">
        <v>532</v>
      </c>
      <c r="B68" s="287"/>
      <c r="C68" s="287"/>
      <c r="D68" s="287"/>
      <c r="E68" s="287"/>
      <c r="F68" s="287"/>
      <c r="G68" s="287"/>
      <c r="H68" s="287"/>
      <c r="I68" s="287"/>
      <c r="J68" s="287"/>
      <c r="K68" s="287"/>
      <c r="L68" s="287"/>
      <c r="M68" s="287"/>
      <c r="N68" s="287"/>
      <c r="O68" s="287"/>
      <c r="P68" s="287"/>
      <c r="Q68" s="287"/>
      <c r="R68" s="287"/>
      <c r="S68" s="287"/>
      <c r="T68" s="287"/>
      <c r="U68" s="287"/>
      <c r="V68" s="287"/>
      <c r="W68" s="287"/>
      <c r="X68" s="287"/>
      <c r="Y68" s="287"/>
      <c r="Z68" s="287"/>
      <c r="AA68" s="287"/>
      <c r="AB68" s="287"/>
      <c r="AC68" s="287"/>
      <c r="AD68" s="287"/>
      <c r="AE68" s="287"/>
      <c r="AF68" s="287"/>
      <c r="AG68" s="287"/>
      <c r="AH68" s="287"/>
      <c r="AI68" s="287"/>
      <c r="AJ68" s="287"/>
      <c r="AK68" s="287"/>
      <c r="AL68" s="287"/>
      <c r="AM68" s="287"/>
    </row>
    <row r="69" spans="1:39" ht="28.5" x14ac:dyDescent="0.2">
      <c r="A69" s="203" t="s">
        <v>310</v>
      </c>
      <c r="B69" s="288">
        <f t="shared" ref="B69:AM69" si="36">B62+B63</f>
        <v>7830114.0351385251</v>
      </c>
      <c r="C69" s="288">
        <f t="shared" si="36"/>
        <v>8464353.2719847448</v>
      </c>
      <c r="D69" s="288">
        <f t="shared" si="36"/>
        <v>43860069.328761876</v>
      </c>
      <c r="E69" s="288">
        <f t="shared" si="36"/>
        <v>80165486.846048951</v>
      </c>
      <c r="F69" s="288">
        <f t="shared" si="36"/>
        <v>83363324.330008596</v>
      </c>
      <c r="G69" s="288">
        <f t="shared" si="36"/>
        <v>132704448.81783892</v>
      </c>
      <c r="H69" s="288">
        <f t="shared" si="36"/>
        <v>220016527.64612046</v>
      </c>
      <c r="I69" s="288">
        <f t="shared" si="36"/>
        <v>228561438.05105299</v>
      </c>
      <c r="J69" s="288">
        <f t="shared" si="36"/>
        <v>238362076.98794097</v>
      </c>
      <c r="K69" s="288">
        <f t="shared" si="36"/>
        <v>248850008.37541038</v>
      </c>
      <c r="L69" s="288">
        <f t="shared" si="36"/>
        <v>259799408.74392843</v>
      </c>
      <c r="M69" s="288">
        <f t="shared" si="36"/>
        <v>270970783.31991732</v>
      </c>
      <c r="N69" s="288">
        <f t="shared" si="36"/>
        <v>282351556.21935385</v>
      </c>
      <c r="O69" s="288">
        <f t="shared" si="36"/>
        <v>293927970.02434736</v>
      </c>
      <c r="P69" s="288">
        <f t="shared" si="36"/>
        <v>305685088.82532126</v>
      </c>
      <c r="Q69" s="288">
        <f t="shared" si="36"/>
        <v>317912492.37833411</v>
      </c>
      <c r="R69" s="288">
        <f t="shared" si="36"/>
        <v>330628992.07346749</v>
      </c>
      <c r="S69" s="288">
        <f t="shared" si="36"/>
        <v>343854151.75640619</v>
      </c>
      <c r="T69" s="288">
        <f t="shared" si="36"/>
        <v>357608317.82666242</v>
      </c>
      <c r="U69" s="288">
        <f t="shared" si="36"/>
        <v>371912650.53972894</v>
      </c>
      <c r="V69" s="288">
        <f t="shared" si="36"/>
        <v>386789156.5613181</v>
      </c>
      <c r="W69" s="288">
        <f t="shared" si="36"/>
        <v>402260722.82377088</v>
      </c>
      <c r="X69" s="288">
        <f t="shared" si="36"/>
        <v>418351151.73672169</v>
      </c>
      <c r="Y69" s="288">
        <f t="shared" si="36"/>
        <v>435085197.80619061</v>
      </c>
      <c r="Z69" s="288">
        <f t="shared" si="36"/>
        <v>452488605.71843827</v>
      </c>
      <c r="AA69" s="288">
        <f t="shared" si="36"/>
        <v>470588149.9471758</v>
      </c>
      <c r="AB69" s="288">
        <f t="shared" si="36"/>
        <v>489411675.94506282</v>
      </c>
      <c r="AC69" s="288">
        <f t="shared" si="36"/>
        <v>508988142.98286539</v>
      </c>
      <c r="AD69" s="288">
        <f t="shared" si="36"/>
        <v>529347668.70217997</v>
      </c>
      <c r="AE69" s="288">
        <f t="shared" si="36"/>
        <v>550521575.4502672</v>
      </c>
      <c r="AF69" s="288">
        <f t="shared" si="36"/>
        <v>572542438.46827805</v>
      </c>
      <c r="AG69" s="288">
        <f t="shared" si="36"/>
        <v>595444136.00700903</v>
      </c>
      <c r="AH69" s="288">
        <f t="shared" si="36"/>
        <v>619261901.44728947</v>
      </c>
      <c r="AI69" s="288">
        <f t="shared" si="36"/>
        <v>644032377.50518107</v>
      </c>
      <c r="AJ69" s="288">
        <f t="shared" si="36"/>
        <v>669793672.60538828</v>
      </c>
      <c r="AK69" s="288">
        <f t="shared" si="36"/>
        <v>696585419.50960386</v>
      </c>
      <c r="AL69" s="288">
        <f t="shared" si="36"/>
        <v>724448836.28998804</v>
      </c>
      <c r="AM69" s="288">
        <f t="shared" si="36"/>
        <v>753426789.74158752</v>
      </c>
    </row>
    <row r="70" spans="1:39" x14ac:dyDescent="0.2">
      <c r="A70" s="202" t="s">
        <v>305</v>
      </c>
      <c r="B70" s="204"/>
      <c r="C70" s="287">
        <f>($B84+$C84+$D84+$E84+$F84+$G84+$H84+$I84)*$B$28/$B$27*0.12</f>
        <v>-932401.56799999985</v>
      </c>
      <c r="D70" s="287">
        <f>($B84+$C84+$D84+$E84+$F84+$G84+$H84+$I84)*$B$28/$B$27*0.18</f>
        <v>-1398602.3519999997</v>
      </c>
      <c r="E70" s="287">
        <f>($B84+$C84+$D84+$E84+$F84+$G84+$H84+$I84)*$B$28/$B$27*0.34</f>
        <v>-2641804.4426666666</v>
      </c>
      <c r="F70" s="287">
        <f>($B84+$C84+$D84+$E84+$F84+$G84+$H84+$I84)*$B$28/$B$27*0.5</f>
        <v>-3885006.5333333327</v>
      </c>
      <c r="G70" s="287">
        <f>($B84+$C84+$D84+$E84+$F84+$G84+$H84+$I84)*$B$28/$B$27*0.5</f>
        <v>-3885006.5333333327</v>
      </c>
      <c r="H70" s="287">
        <f>($B84+$C84+$D84+$E84+$F84+$G84+$H84+$I84)*$B$28/$B$27*0.72</f>
        <v>-5594409.4079999989</v>
      </c>
      <c r="I70" s="287">
        <f>($B84+$C84+$D84+$E84+$F84+$G84+$H84+$I84)*$B$28/$B$27*0.99</f>
        <v>-7692312.9359999988</v>
      </c>
      <c r="J70" s="287">
        <f t="shared" ref="J70" si="37">($B84+$C84+$D84+$E84+$F84+$G84+$H84+$I84)*$B$28/$B$27</f>
        <v>-7770013.0666666655</v>
      </c>
      <c r="K70" s="287">
        <f t="shared" ref="K70:AM70" si="38">J70</f>
        <v>-7770013.0666666655</v>
      </c>
      <c r="L70" s="287">
        <f t="shared" si="38"/>
        <v>-7770013.0666666655</v>
      </c>
      <c r="M70" s="287">
        <f t="shared" si="38"/>
        <v>-7770013.0666666655</v>
      </c>
      <c r="N70" s="287">
        <f t="shared" si="38"/>
        <v>-7770013.0666666655</v>
      </c>
      <c r="O70" s="287">
        <f t="shared" si="38"/>
        <v>-7770013.0666666655</v>
      </c>
      <c r="P70" s="287">
        <f t="shared" si="38"/>
        <v>-7770013.0666666655</v>
      </c>
      <c r="Q70" s="287">
        <f t="shared" si="38"/>
        <v>-7770013.0666666655</v>
      </c>
      <c r="R70" s="287">
        <f t="shared" si="38"/>
        <v>-7770013.0666666655</v>
      </c>
      <c r="S70" s="287">
        <f t="shared" si="38"/>
        <v>-7770013.0666666655</v>
      </c>
      <c r="T70" s="287">
        <f t="shared" si="38"/>
        <v>-7770013.0666666655</v>
      </c>
      <c r="U70" s="287">
        <f t="shared" si="38"/>
        <v>-7770013.0666666655</v>
      </c>
      <c r="V70" s="287">
        <f t="shared" si="38"/>
        <v>-7770013.0666666655</v>
      </c>
      <c r="W70" s="287">
        <f t="shared" si="38"/>
        <v>-7770013.0666666655</v>
      </c>
      <c r="X70" s="287">
        <f t="shared" si="38"/>
        <v>-7770013.0666666655</v>
      </c>
      <c r="Y70" s="287">
        <f t="shared" si="38"/>
        <v>-7770013.0666666655</v>
      </c>
      <c r="Z70" s="287">
        <f t="shared" si="38"/>
        <v>-7770013.0666666655</v>
      </c>
      <c r="AA70" s="287">
        <f t="shared" si="38"/>
        <v>-7770013.0666666655</v>
      </c>
      <c r="AB70" s="287">
        <f t="shared" si="38"/>
        <v>-7770013.0666666655</v>
      </c>
      <c r="AC70" s="287">
        <f t="shared" si="38"/>
        <v>-7770013.0666666655</v>
      </c>
      <c r="AD70" s="287">
        <f t="shared" si="38"/>
        <v>-7770013.0666666655</v>
      </c>
      <c r="AE70" s="287">
        <f t="shared" si="38"/>
        <v>-7770013.0666666655</v>
      </c>
      <c r="AF70" s="287">
        <f t="shared" si="38"/>
        <v>-7770013.0666666655</v>
      </c>
      <c r="AG70" s="287">
        <f t="shared" si="38"/>
        <v>-7770013.0666666655</v>
      </c>
      <c r="AH70" s="287">
        <f t="shared" si="38"/>
        <v>-7770013.0666666655</v>
      </c>
      <c r="AI70" s="287">
        <f t="shared" si="38"/>
        <v>-7770013.0666666655</v>
      </c>
      <c r="AJ70" s="287">
        <f t="shared" si="38"/>
        <v>-7770013.0666666655</v>
      </c>
      <c r="AK70" s="287">
        <f t="shared" si="38"/>
        <v>-7770013.0666666655</v>
      </c>
      <c r="AL70" s="287">
        <f t="shared" si="38"/>
        <v>-7770013.0666666655</v>
      </c>
      <c r="AM70" s="287">
        <f t="shared" si="38"/>
        <v>-7770013.0666666655</v>
      </c>
    </row>
    <row r="71" spans="1:39" ht="28.5" x14ac:dyDescent="0.2">
      <c r="A71" s="203" t="s">
        <v>306</v>
      </c>
      <c r="B71" s="288">
        <f t="shared" ref="B71:J71" si="39">B69+B70</f>
        <v>7830114.0351385251</v>
      </c>
      <c r="C71" s="288">
        <f>C69+C70</f>
        <v>7531951.7039847448</v>
      </c>
      <c r="D71" s="288">
        <f>D69+D70</f>
        <v>42461466.976761878</v>
      </c>
      <c r="E71" s="288">
        <f t="shared" si="39"/>
        <v>77523682.403382286</v>
      </c>
      <c r="F71" s="288">
        <f>F69+C70</f>
        <v>82430922.762008592</v>
      </c>
      <c r="G71" s="288">
        <f t="shared" si="39"/>
        <v>128819442.28450559</v>
      </c>
      <c r="H71" s="288">
        <f t="shared" si="39"/>
        <v>214422118.23812047</v>
      </c>
      <c r="I71" s="288">
        <f t="shared" si="39"/>
        <v>220869125.115053</v>
      </c>
      <c r="J71" s="288">
        <f t="shared" si="39"/>
        <v>230592063.9212743</v>
      </c>
      <c r="K71" s="288">
        <f>K69+K70</f>
        <v>241079995.30874372</v>
      </c>
      <c r="L71" s="288">
        <f>L69+L70</f>
        <v>252029395.67726177</v>
      </c>
      <c r="M71" s="288">
        <f t="shared" ref="M71:AM71" si="40">M69+M70</f>
        <v>263200770.25325066</v>
      </c>
      <c r="N71" s="288">
        <f t="shared" si="40"/>
        <v>274581543.15268719</v>
      </c>
      <c r="O71" s="288">
        <f t="shared" si="40"/>
        <v>286157956.9576807</v>
      </c>
      <c r="P71" s="288">
        <f t="shared" si="40"/>
        <v>297915075.75865459</v>
      </c>
      <c r="Q71" s="288">
        <f t="shared" si="40"/>
        <v>310142479.31166744</v>
      </c>
      <c r="R71" s="288">
        <f t="shared" si="40"/>
        <v>322858979.00680083</v>
      </c>
      <c r="S71" s="288">
        <f t="shared" si="40"/>
        <v>336084138.68973953</v>
      </c>
      <c r="T71" s="288">
        <f t="shared" si="40"/>
        <v>349838304.75999576</v>
      </c>
      <c r="U71" s="288">
        <f t="shared" si="40"/>
        <v>364142637.47306228</v>
      </c>
      <c r="V71" s="288">
        <f t="shared" si="40"/>
        <v>379019143.49465144</v>
      </c>
      <c r="W71" s="288">
        <f t="shared" si="40"/>
        <v>394490709.75710422</v>
      </c>
      <c r="X71" s="288">
        <f t="shared" si="40"/>
        <v>410581138.67005503</v>
      </c>
      <c r="Y71" s="288">
        <f t="shared" si="40"/>
        <v>427315184.73952395</v>
      </c>
      <c r="Z71" s="288">
        <f t="shared" si="40"/>
        <v>444718592.65177161</v>
      </c>
      <c r="AA71" s="288">
        <f t="shared" si="40"/>
        <v>462818136.88050914</v>
      </c>
      <c r="AB71" s="288">
        <f t="shared" si="40"/>
        <v>481641662.87839615</v>
      </c>
      <c r="AC71" s="288">
        <f t="shared" si="40"/>
        <v>501218129.91619873</v>
      </c>
      <c r="AD71" s="288">
        <f t="shared" si="40"/>
        <v>521577655.63551331</v>
      </c>
      <c r="AE71" s="288">
        <f t="shared" si="40"/>
        <v>542751562.38360047</v>
      </c>
      <c r="AF71" s="288">
        <f t="shared" si="40"/>
        <v>564772425.40161133</v>
      </c>
      <c r="AG71" s="288">
        <f t="shared" si="40"/>
        <v>587674122.94034231</v>
      </c>
      <c r="AH71" s="288">
        <f t="shared" si="40"/>
        <v>611491888.38062274</v>
      </c>
      <c r="AI71" s="288">
        <f t="shared" si="40"/>
        <v>636262364.43851435</v>
      </c>
      <c r="AJ71" s="288">
        <f t="shared" si="40"/>
        <v>662023659.53872156</v>
      </c>
      <c r="AK71" s="288">
        <f t="shared" si="40"/>
        <v>688815406.44293714</v>
      </c>
      <c r="AL71" s="288">
        <f t="shared" si="40"/>
        <v>716678823.22332132</v>
      </c>
      <c r="AM71" s="288">
        <f t="shared" si="40"/>
        <v>745656776.6749208</v>
      </c>
    </row>
    <row r="72" spans="1:39" x14ac:dyDescent="0.2">
      <c r="A72" s="202" t="s">
        <v>304</v>
      </c>
      <c r="B72" s="287">
        <f t="shared" ref="B72:AM72" si="41">-B59</f>
        <v>0</v>
      </c>
      <c r="C72" s="287">
        <f t="shared" si="41"/>
        <v>0</v>
      </c>
      <c r="D72" s="287">
        <f t="shared" si="41"/>
        <v>0</v>
      </c>
      <c r="E72" s="287">
        <f t="shared" si="41"/>
        <v>0</v>
      </c>
      <c r="F72" s="287">
        <f t="shared" si="41"/>
        <v>0</v>
      </c>
      <c r="G72" s="287">
        <f t="shared" si="41"/>
        <v>0</v>
      </c>
      <c r="H72" s="287">
        <f t="shared" si="41"/>
        <v>0</v>
      </c>
      <c r="I72" s="287">
        <f t="shared" si="41"/>
        <v>0</v>
      </c>
      <c r="J72" s="287">
        <f t="shared" si="41"/>
        <v>0</v>
      </c>
      <c r="K72" s="287">
        <f t="shared" si="41"/>
        <v>0</v>
      </c>
      <c r="L72" s="287">
        <f t="shared" si="41"/>
        <v>0</v>
      </c>
      <c r="M72" s="287">
        <f t="shared" si="41"/>
        <v>0</v>
      </c>
      <c r="N72" s="287">
        <f t="shared" si="41"/>
        <v>0</v>
      </c>
      <c r="O72" s="287">
        <f t="shared" si="41"/>
        <v>0</v>
      </c>
      <c r="P72" s="287">
        <f t="shared" si="41"/>
        <v>0</v>
      </c>
      <c r="Q72" s="287">
        <f t="shared" si="41"/>
        <v>0</v>
      </c>
      <c r="R72" s="287">
        <f t="shared" si="41"/>
        <v>0</v>
      </c>
      <c r="S72" s="287">
        <f t="shared" si="41"/>
        <v>0</v>
      </c>
      <c r="T72" s="287">
        <f t="shared" si="41"/>
        <v>0</v>
      </c>
      <c r="U72" s="287">
        <f t="shared" si="41"/>
        <v>0</v>
      </c>
      <c r="V72" s="287">
        <f t="shared" si="41"/>
        <v>0</v>
      </c>
      <c r="W72" s="287">
        <f t="shared" si="41"/>
        <v>0</v>
      </c>
      <c r="X72" s="287">
        <f t="shared" si="41"/>
        <v>0</v>
      </c>
      <c r="Y72" s="287">
        <f t="shared" si="41"/>
        <v>0</v>
      </c>
      <c r="Z72" s="287">
        <f t="shared" si="41"/>
        <v>0</v>
      </c>
      <c r="AA72" s="287">
        <f t="shared" si="41"/>
        <v>0</v>
      </c>
      <c r="AB72" s="287">
        <f t="shared" si="41"/>
        <v>0</v>
      </c>
      <c r="AC72" s="287">
        <f t="shared" si="41"/>
        <v>0</v>
      </c>
      <c r="AD72" s="287">
        <f t="shared" si="41"/>
        <v>0</v>
      </c>
      <c r="AE72" s="287">
        <f t="shared" si="41"/>
        <v>0</v>
      </c>
      <c r="AF72" s="287">
        <f t="shared" si="41"/>
        <v>0</v>
      </c>
      <c r="AG72" s="287">
        <f t="shared" si="41"/>
        <v>0</v>
      </c>
      <c r="AH72" s="287">
        <f t="shared" si="41"/>
        <v>0</v>
      </c>
      <c r="AI72" s="287">
        <f t="shared" si="41"/>
        <v>0</v>
      </c>
      <c r="AJ72" s="287">
        <f t="shared" si="41"/>
        <v>0</v>
      </c>
      <c r="AK72" s="287">
        <f t="shared" si="41"/>
        <v>0</v>
      </c>
      <c r="AL72" s="287">
        <f t="shared" si="41"/>
        <v>0</v>
      </c>
      <c r="AM72" s="287">
        <f t="shared" si="41"/>
        <v>0</v>
      </c>
    </row>
    <row r="73" spans="1:39" ht="14.25" x14ac:dyDescent="0.2">
      <c r="A73" s="203" t="s">
        <v>309</v>
      </c>
      <c r="B73" s="288">
        <f t="shared" ref="B73:AM73" si="42">B71+B72</f>
        <v>7830114.0351385251</v>
      </c>
      <c r="C73" s="288">
        <f t="shared" si="42"/>
        <v>7531951.7039847448</v>
      </c>
      <c r="D73" s="288">
        <f t="shared" si="42"/>
        <v>42461466.976761878</v>
      </c>
      <c r="E73" s="288">
        <f t="shared" si="42"/>
        <v>77523682.403382286</v>
      </c>
      <c r="F73" s="288">
        <f t="shared" si="42"/>
        <v>82430922.762008592</v>
      </c>
      <c r="G73" s="288">
        <f t="shared" si="42"/>
        <v>128819442.28450559</v>
      </c>
      <c r="H73" s="288">
        <f t="shared" si="42"/>
        <v>214422118.23812047</v>
      </c>
      <c r="I73" s="288">
        <f t="shared" si="42"/>
        <v>220869125.115053</v>
      </c>
      <c r="J73" s="288">
        <f t="shared" si="42"/>
        <v>230592063.9212743</v>
      </c>
      <c r="K73" s="288">
        <f t="shared" si="42"/>
        <v>241079995.30874372</v>
      </c>
      <c r="L73" s="288">
        <f t="shared" si="42"/>
        <v>252029395.67726177</v>
      </c>
      <c r="M73" s="288">
        <f t="shared" si="42"/>
        <v>263200770.25325066</v>
      </c>
      <c r="N73" s="288">
        <f t="shared" si="42"/>
        <v>274581543.15268719</v>
      </c>
      <c r="O73" s="288">
        <f t="shared" si="42"/>
        <v>286157956.9576807</v>
      </c>
      <c r="P73" s="288">
        <f t="shared" si="42"/>
        <v>297915075.75865459</v>
      </c>
      <c r="Q73" s="288">
        <f t="shared" si="42"/>
        <v>310142479.31166744</v>
      </c>
      <c r="R73" s="288">
        <f t="shared" si="42"/>
        <v>322858979.00680083</v>
      </c>
      <c r="S73" s="288">
        <f t="shared" si="42"/>
        <v>336084138.68973953</v>
      </c>
      <c r="T73" s="288">
        <f t="shared" si="42"/>
        <v>349838304.75999576</v>
      </c>
      <c r="U73" s="288">
        <f t="shared" si="42"/>
        <v>364142637.47306228</v>
      </c>
      <c r="V73" s="288">
        <f t="shared" si="42"/>
        <v>379019143.49465144</v>
      </c>
      <c r="W73" s="288">
        <f t="shared" si="42"/>
        <v>394490709.75710422</v>
      </c>
      <c r="X73" s="288">
        <f t="shared" si="42"/>
        <v>410581138.67005503</v>
      </c>
      <c r="Y73" s="288">
        <f t="shared" si="42"/>
        <v>427315184.73952395</v>
      </c>
      <c r="Z73" s="288">
        <f t="shared" si="42"/>
        <v>444718592.65177161</v>
      </c>
      <c r="AA73" s="288">
        <f t="shared" si="42"/>
        <v>462818136.88050914</v>
      </c>
      <c r="AB73" s="288">
        <f t="shared" si="42"/>
        <v>481641662.87839615</v>
      </c>
      <c r="AC73" s="288">
        <f t="shared" si="42"/>
        <v>501218129.91619873</v>
      </c>
      <c r="AD73" s="288">
        <f t="shared" si="42"/>
        <v>521577655.63551331</v>
      </c>
      <c r="AE73" s="288">
        <f t="shared" si="42"/>
        <v>542751562.38360047</v>
      </c>
      <c r="AF73" s="288">
        <f t="shared" si="42"/>
        <v>564772425.40161133</v>
      </c>
      <c r="AG73" s="288">
        <f t="shared" si="42"/>
        <v>587674122.94034231</v>
      </c>
      <c r="AH73" s="288">
        <f t="shared" si="42"/>
        <v>611491888.38062274</v>
      </c>
      <c r="AI73" s="288">
        <f t="shared" si="42"/>
        <v>636262364.43851435</v>
      </c>
      <c r="AJ73" s="288">
        <f t="shared" si="42"/>
        <v>662023659.53872156</v>
      </c>
      <c r="AK73" s="288">
        <f t="shared" si="42"/>
        <v>688815406.44293714</v>
      </c>
      <c r="AL73" s="288">
        <f t="shared" si="42"/>
        <v>716678823.22332132</v>
      </c>
      <c r="AM73" s="288">
        <f t="shared" si="42"/>
        <v>745656776.6749208</v>
      </c>
    </row>
    <row r="74" spans="1:39" x14ac:dyDescent="0.2">
      <c r="A74" s="202" t="s">
        <v>303</v>
      </c>
      <c r="B74" s="287">
        <f t="shared" ref="B74:AM74" si="43">-B73*$B$36</f>
        <v>-1566022.807027705</v>
      </c>
      <c r="C74" s="287">
        <f t="shared" si="43"/>
        <v>-1506390.3407969491</v>
      </c>
      <c r="D74" s="287">
        <f t="shared" si="43"/>
        <v>-8492293.3953523766</v>
      </c>
      <c r="E74" s="287">
        <f t="shared" si="43"/>
        <v>-15504736.480676457</v>
      </c>
      <c r="F74" s="287">
        <f t="shared" si="43"/>
        <v>-16486184.55240172</v>
      </c>
      <c r="G74" s="287">
        <f t="shared" si="43"/>
        <v>-25763888.456901118</v>
      </c>
      <c r="H74" s="287">
        <f t="shared" si="43"/>
        <v>-42884423.647624098</v>
      </c>
      <c r="I74" s="287">
        <f t="shared" si="43"/>
        <v>-44173825.023010604</v>
      </c>
      <c r="J74" s="287">
        <f t="shared" si="43"/>
        <v>-46118412.784254864</v>
      </c>
      <c r="K74" s="287">
        <f t="shared" si="43"/>
        <v>-48215999.061748743</v>
      </c>
      <c r="L74" s="287">
        <f t="shared" si="43"/>
        <v>-50405879.13545236</v>
      </c>
      <c r="M74" s="287">
        <f t="shared" si="43"/>
        <v>-52640154.050650135</v>
      </c>
      <c r="N74" s="287">
        <f t="shared" si="43"/>
        <v>-54916308.630537443</v>
      </c>
      <c r="O74" s="287">
        <f t="shared" si="43"/>
        <v>-57231591.391536146</v>
      </c>
      <c r="P74" s="287">
        <f t="shared" si="43"/>
        <v>-59583015.151730925</v>
      </c>
      <c r="Q74" s="287">
        <f t="shared" si="43"/>
        <v>-62028495.862333491</v>
      </c>
      <c r="R74" s="287">
        <f t="shared" si="43"/>
        <v>-64571795.801360168</v>
      </c>
      <c r="S74" s="287">
        <f t="shared" si="43"/>
        <v>-67216827.737947911</v>
      </c>
      <c r="T74" s="287">
        <f t="shared" si="43"/>
        <v>-69967660.951999158</v>
      </c>
      <c r="U74" s="287">
        <f t="shared" si="43"/>
        <v>-72828527.494612455</v>
      </c>
      <c r="V74" s="287">
        <f t="shared" si="43"/>
        <v>-75803828.698930293</v>
      </c>
      <c r="W74" s="287">
        <f t="shared" si="43"/>
        <v>-78898141.951420844</v>
      </c>
      <c r="X74" s="287">
        <f t="shared" si="43"/>
        <v>-82116227.734011009</v>
      </c>
      <c r="Y74" s="287">
        <f t="shared" si="43"/>
        <v>-85463036.947904795</v>
      </c>
      <c r="Z74" s="287">
        <f t="shared" si="43"/>
        <v>-88943718.530354321</v>
      </c>
      <c r="AA74" s="287">
        <f t="shared" si="43"/>
        <v>-92563627.376101837</v>
      </c>
      <c r="AB74" s="287">
        <f t="shared" si="43"/>
        <v>-96328332.575679243</v>
      </c>
      <c r="AC74" s="287">
        <f t="shared" si="43"/>
        <v>-100243625.98323976</v>
      </c>
      <c r="AD74" s="287">
        <f t="shared" si="43"/>
        <v>-104315531.12710267</v>
      </c>
      <c r="AE74" s="287">
        <f t="shared" si="43"/>
        <v>-108550312.47672009</v>
      </c>
      <c r="AF74" s="287">
        <f t="shared" si="43"/>
        <v>-112954485.08032227</v>
      </c>
      <c r="AG74" s="287">
        <f t="shared" si="43"/>
        <v>-117534824.58806847</v>
      </c>
      <c r="AH74" s="287">
        <f t="shared" si="43"/>
        <v>-122298377.67612456</v>
      </c>
      <c r="AI74" s="287">
        <f t="shared" si="43"/>
        <v>-127252472.88770288</v>
      </c>
      <c r="AJ74" s="287">
        <f t="shared" si="43"/>
        <v>-132404731.90774432</v>
      </c>
      <c r="AK74" s="287">
        <f t="shared" si="43"/>
        <v>-137763081.28858742</v>
      </c>
      <c r="AL74" s="287">
        <f t="shared" si="43"/>
        <v>-143335764.64466426</v>
      </c>
      <c r="AM74" s="287">
        <f t="shared" si="43"/>
        <v>-149131355.33498415</v>
      </c>
    </row>
    <row r="75" spans="1:39" ht="15" thickBot="1" x14ac:dyDescent="0.25">
      <c r="A75" s="205" t="s">
        <v>308</v>
      </c>
      <c r="B75" s="206">
        <f t="shared" ref="B75:AM75" si="44">B73+B74</f>
        <v>6264091.2281108201</v>
      </c>
      <c r="C75" s="206">
        <f t="shared" si="44"/>
        <v>6025561.3631877955</v>
      </c>
      <c r="D75" s="206">
        <f t="shared" si="44"/>
        <v>33969173.581409499</v>
      </c>
      <c r="E75" s="206">
        <f t="shared" si="44"/>
        <v>62018945.922705829</v>
      </c>
      <c r="F75" s="206">
        <f t="shared" si="44"/>
        <v>65944738.209606871</v>
      </c>
      <c r="G75" s="206">
        <f t="shared" si="44"/>
        <v>103055553.82760447</v>
      </c>
      <c r="H75" s="206">
        <f t="shared" si="44"/>
        <v>171537694.59049636</v>
      </c>
      <c r="I75" s="206">
        <f t="shared" si="44"/>
        <v>176695300.09204239</v>
      </c>
      <c r="J75" s="206">
        <f t="shared" si="44"/>
        <v>184473651.13701946</v>
      </c>
      <c r="K75" s="206">
        <f t="shared" si="44"/>
        <v>192863996.24699497</v>
      </c>
      <c r="L75" s="206">
        <f t="shared" si="44"/>
        <v>201623516.54180941</v>
      </c>
      <c r="M75" s="206">
        <f t="shared" si="44"/>
        <v>210560616.20260054</v>
      </c>
      <c r="N75" s="206">
        <f t="shared" si="44"/>
        <v>219665234.52214974</v>
      </c>
      <c r="O75" s="206">
        <f t="shared" si="44"/>
        <v>228926365.56614456</v>
      </c>
      <c r="P75" s="206">
        <f t="shared" si="44"/>
        <v>238332060.60692367</v>
      </c>
      <c r="Q75" s="206">
        <f t="shared" si="44"/>
        <v>248113983.44933397</v>
      </c>
      <c r="R75" s="206">
        <f t="shared" si="44"/>
        <v>258287183.20544067</v>
      </c>
      <c r="S75" s="206">
        <f t="shared" si="44"/>
        <v>268867310.95179164</v>
      </c>
      <c r="T75" s="206">
        <f t="shared" si="44"/>
        <v>279870643.80799663</v>
      </c>
      <c r="U75" s="206">
        <f t="shared" si="44"/>
        <v>291314109.97844982</v>
      </c>
      <c r="V75" s="206">
        <f t="shared" si="44"/>
        <v>303215314.79572117</v>
      </c>
      <c r="W75" s="206">
        <f t="shared" si="44"/>
        <v>315592567.80568337</v>
      </c>
      <c r="X75" s="206">
        <f t="shared" si="44"/>
        <v>328464910.93604404</v>
      </c>
      <c r="Y75" s="206">
        <f t="shared" si="44"/>
        <v>341852147.79161918</v>
      </c>
      <c r="Z75" s="206">
        <f t="shared" si="44"/>
        <v>355774874.12141728</v>
      </c>
      <c r="AA75" s="206">
        <f t="shared" si="44"/>
        <v>370254509.50440729</v>
      </c>
      <c r="AB75" s="206">
        <f t="shared" si="44"/>
        <v>385313330.30271691</v>
      </c>
      <c r="AC75" s="206">
        <f t="shared" si="44"/>
        <v>400974503.93295896</v>
      </c>
      <c r="AD75" s="206">
        <f t="shared" si="44"/>
        <v>417262124.50841063</v>
      </c>
      <c r="AE75" s="206">
        <f t="shared" si="44"/>
        <v>434201249.90688038</v>
      </c>
      <c r="AF75" s="206">
        <f t="shared" si="44"/>
        <v>451817940.32128906</v>
      </c>
      <c r="AG75" s="206">
        <f t="shared" si="44"/>
        <v>470139298.35227382</v>
      </c>
      <c r="AH75" s="206">
        <f t="shared" si="44"/>
        <v>489193510.70449817</v>
      </c>
      <c r="AI75" s="206">
        <f t="shared" si="44"/>
        <v>509009891.55081147</v>
      </c>
      <c r="AJ75" s="206">
        <f t="shared" si="44"/>
        <v>529618927.63097727</v>
      </c>
      <c r="AK75" s="206">
        <f t="shared" si="44"/>
        <v>551052325.15434968</v>
      </c>
      <c r="AL75" s="206">
        <f t="shared" si="44"/>
        <v>573343058.57865703</v>
      </c>
      <c r="AM75" s="206">
        <f t="shared" si="44"/>
        <v>596525421.33993661</v>
      </c>
    </row>
    <row r="76" spans="1:39" s="208" customFormat="1" ht="16.5" thickBot="1" x14ac:dyDescent="0.25">
      <c r="A76" s="198"/>
      <c r="B76" s="207">
        <f t="shared" ref="B76:AM76" si="45">B109</f>
        <v>0</v>
      </c>
      <c r="C76" s="207">
        <f t="shared" si="45"/>
        <v>0</v>
      </c>
      <c r="D76" s="207">
        <f t="shared" si="45"/>
        <v>0</v>
      </c>
      <c r="E76" s="207">
        <f t="shared" si="45"/>
        <v>0</v>
      </c>
      <c r="F76" s="207">
        <f t="shared" si="45"/>
        <v>0</v>
      </c>
      <c r="G76" s="207">
        <f t="shared" si="45"/>
        <v>0.5</v>
      </c>
      <c r="H76" s="207">
        <f t="shared" si="45"/>
        <v>1.5</v>
      </c>
      <c r="I76" s="207">
        <f t="shared" si="45"/>
        <v>2.5</v>
      </c>
      <c r="J76" s="207">
        <f t="shared" si="45"/>
        <v>3.5</v>
      </c>
      <c r="K76" s="207">
        <f t="shared" si="45"/>
        <v>4.5</v>
      </c>
      <c r="L76" s="207">
        <f t="shared" si="45"/>
        <v>5.5</v>
      </c>
      <c r="M76" s="207">
        <f t="shared" si="45"/>
        <v>6.5</v>
      </c>
      <c r="N76" s="207">
        <f t="shared" si="45"/>
        <v>7.5</v>
      </c>
      <c r="O76" s="207">
        <f t="shared" si="45"/>
        <v>8.5</v>
      </c>
      <c r="P76" s="207">
        <f t="shared" si="45"/>
        <v>9.5</v>
      </c>
      <c r="Q76" s="207">
        <f t="shared" si="45"/>
        <v>10.5</v>
      </c>
      <c r="R76" s="207">
        <f t="shared" si="45"/>
        <v>11.5</v>
      </c>
      <c r="S76" s="207">
        <f t="shared" si="45"/>
        <v>12.5</v>
      </c>
      <c r="T76" s="207">
        <f t="shared" si="45"/>
        <v>13.5</v>
      </c>
      <c r="U76" s="207">
        <f t="shared" si="45"/>
        <v>14.5</v>
      </c>
      <c r="V76" s="207">
        <f t="shared" si="45"/>
        <v>15.5</v>
      </c>
      <c r="W76" s="207">
        <f t="shared" si="45"/>
        <v>16.5</v>
      </c>
      <c r="X76" s="207">
        <f t="shared" si="45"/>
        <v>17.5</v>
      </c>
      <c r="Y76" s="207">
        <f t="shared" si="45"/>
        <v>18.5</v>
      </c>
      <c r="Z76" s="207">
        <f t="shared" si="45"/>
        <v>19.5</v>
      </c>
      <c r="AA76" s="207">
        <f t="shared" si="45"/>
        <v>20.5</v>
      </c>
      <c r="AB76" s="207">
        <f t="shared" si="45"/>
        <v>21.5</v>
      </c>
      <c r="AC76" s="207">
        <f t="shared" si="45"/>
        <v>22.5</v>
      </c>
      <c r="AD76" s="207">
        <f t="shared" si="45"/>
        <v>23.5</v>
      </c>
      <c r="AE76" s="207">
        <f t="shared" si="45"/>
        <v>24.5</v>
      </c>
      <c r="AF76" s="207">
        <f t="shared" si="45"/>
        <v>25.5</v>
      </c>
      <c r="AG76" s="207">
        <f t="shared" si="45"/>
        <v>26.5</v>
      </c>
      <c r="AH76" s="207">
        <f t="shared" si="45"/>
        <v>27.5</v>
      </c>
      <c r="AI76" s="207">
        <f t="shared" si="45"/>
        <v>28.5</v>
      </c>
      <c r="AJ76" s="207">
        <f t="shared" si="45"/>
        <v>29.5</v>
      </c>
      <c r="AK76" s="207">
        <f t="shared" si="45"/>
        <v>30.5</v>
      </c>
      <c r="AL76" s="207">
        <f t="shared" si="45"/>
        <v>31.5</v>
      </c>
      <c r="AM76" s="207">
        <f t="shared" si="45"/>
        <v>32.5</v>
      </c>
    </row>
    <row r="77" spans="1:39" x14ac:dyDescent="0.2">
      <c r="A77" s="193" t="s">
        <v>307</v>
      </c>
      <c r="B77" s="194">
        <f t="shared" ref="B77:AM77" si="46">B61</f>
        <v>1</v>
      </c>
      <c r="C77" s="194">
        <f t="shared" si="46"/>
        <v>2</v>
      </c>
      <c r="D77" s="194">
        <f t="shared" si="46"/>
        <v>3</v>
      </c>
      <c r="E77" s="194">
        <f t="shared" si="46"/>
        <v>4</v>
      </c>
      <c r="F77" s="194">
        <f t="shared" si="46"/>
        <v>5</v>
      </c>
      <c r="G77" s="194">
        <f t="shared" si="46"/>
        <v>6</v>
      </c>
      <c r="H77" s="194">
        <f t="shared" si="46"/>
        <v>7</v>
      </c>
      <c r="I77" s="194">
        <f t="shared" si="46"/>
        <v>8</v>
      </c>
      <c r="J77" s="194">
        <f t="shared" si="46"/>
        <v>9</v>
      </c>
      <c r="K77" s="194">
        <f t="shared" si="46"/>
        <v>10</v>
      </c>
      <c r="L77" s="194">
        <f t="shared" si="46"/>
        <v>11</v>
      </c>
      <c r="M77" s="194">
        <f t="shared" si="46"/>
        <v>12</v>
      </c>
      <c r="N77" s="194">
        <f t="shared" si="46"/>
        <v>13</v>
      </c>
      <c r="O77" s="194">
        <f t="shared" si="46"/>
        <v>14</v>
      </c>
      <c r="P77" s="194">
        <f t="shared" si="46"/>
        <v>15</v>
      </c>
      <c r="Q77" s="194">
        <f t="shared" si="46"/>
        <v>16</v>
      </c>
      <c r="R77" s="194">
        <f t="shared" si="46"/>
        <v>17</v>
      </c>
      <c r="S77" s="194">
        <f t="shared" si="46"/>
        <v>18</v>
      </c>
      <c r="T77" s="194">
        <f t="shared" si="46"/>
        <v>19</v>
      </c>
      <c r="U77" s="194">
        <f t="shared" si="46"/>
        <v>20</v>
      </c>
      <c r="V77" s="194">
        <f t="shared" si="46"/>
        <v>21</v>
      </c>
      <c r="W77" s="194">
        <f t="shared" si="46"/>
        <v>22</v>
      </c>
      <c r="X77" s="194">
        <f t="shared" si="46"/>
        <v>23</v>
      </c>
      <c r="Y77" s="194">
        <f t="shared" si="46"/>
        <v>24</v>
      </c>
      <c r="Z77" s="194">
        <f t="shared" si="46"/>
        <v>25</v>
      </c>
      <c r="AA77" s="194">
        <f t="shared" si="46"/>
        <v>26</v>
      </c>
      <c r="AB77" s="194">
        <f t="shared" si="46"/>
        <v>27</v>
      </c>
      <c r="AC77" s="194">
        <f t="shared" si="46"/>
        <v>28</v>
      </c>
      <c r="AD77" s="194">
        <f t="shared" si="46"/>
        <v>29</v>
      </c>
      <c r="AE77" s="194">
        <f t="shared" si="46"/>
        <v>30</v>
      </c>
      <c r="AF77" s="194">
        <f t="shared" si="46"/>
        <v>31</v>
      </c>
      <c r="AG77" s="194">
        <f t="shared" si="46"/>
        <v>32</v>
      </c>
      <c r="AH77" s="194">
        <f t="shared" si="46"/>
        <v>33</v>
      </c>
      <c r="AI77" s="194">
        <f t="shared" si="46"/>
        <v>34</v>
      </c>
      <c r="AJ77" s="194">
        <f t="shared" si="46"/>
        <v>35</v>
      </c>
      <c r="AK77" s="194">
        <f t="shared" si="46"/>
        <v>36</v>
      </c>
      <c r="AL77" s="194">
        <f t="shared" si="46"/>
        <v>37</v>
      </c>
      <c r="AM77" s="194">
        <f t="shared" si="46"/>
        <v>38</v>
      </c>
    </row>
    <row r="78" spans="1:39" ht="28.5" x14ac:dyDescent="0.2">
      <c r="A78" s="201" t="s">
        <v>306</v>
      </c>
      <c r="B78" s="288">
        <f t="shared" ref="B78:AM78" si="47">B71</f>
        <v>7830114.0351385251</v>
      </c>
      <c r="C78" s="288">
        <f t="shared" si="47"/>
        <v>7531951.7039847448</v>
      </c>
      <c r="D78" s="288">
        <f>D71</f>
        <v>42461466.976761878</v>
      </c>
      <c r="E78" s="288">
        <f t="shared" si="47"/>
        <v>77523682.403382286</v>
      </c>
      <c r="F78" s="288">
        <f t="shared" si="47"/>
        <v>82430922.762008592</v>
      </c>
      <c r="G78" s="288">
        <f t="shared" si="47"/>
        <v>128819442.28450559</v>
      </c>
      <c r="H78" s="288">
        <f t="shared" si="47"/>
        <v>214422118.23812047</v>
      </c>
      <c r="I78" s="288">
        <f t="shared" si="47"/>
        <v>220869125.115053</v>
      </c>
      <c r="J78" s="288">
        <f t="shared" si="47"/>
        <v>230592063.9212743</v>
      </c>
      <c r="K78" s="288">
        <f t="shared" si="47"/>
        <v>241079995.30874372</v>
      </c>
      <c r="L78" s="288">
        <f t="shared" si="47"/>
        <v>252029395.67726177</v>
      </c>
      <c r="M78" s="288">
        <f t="shared" si="47"/>
        <v>263200770.25325066</v>
      </c>
      <c r="N78" s="288">
        <f t="shared" si="47"/>
        <v>274581543.15268719</v>
      </c>
      <c r="O78" s="288">
        <f t="shared" si="47"/>
        <v>286157956.9576807</v>
      </c>
      <c r="P78" s="288">
        <f t="shared" si="47"/>
        <v>297915075.75865459</v>
      </c>
      <c r="Q78" s="288">
        <f t="shared" si="47"/>
        <v>310142479.31166744</v>
      </c>
      <c r="R78" s="288">
        <f t="shared" si="47"/>
        <v>322858979.00680083</v>
      </c>
      <c r="S78" s="288">
        <f t="shared" si="47"/>
        <v>336084138.68973953</v>
      </c>
      <c r="T78" s="288">
        <f t="shared" si="47"/>
        <v>349838304.75999576</v>
      </c>
      <c r="U78" s="288">
        <f t="shared" si="47"/>
        <v>364142637.47306228</v>
      </c>
      <c r="V78" s="288">
        <f t="shared" si="47"/>
        <v>379019143.49465144</v>
      </c>
      <c r="W78" s="288">
        <f t="shared" si="47"/>
        <v>394490709.75710422</v>
      </c>
      <c r="X78" s="288">
        <f t="shared" si="47"/>
        <v>410581138.67005503</v>
      </c>
      <c r="Y78" s="288">
        <f t="shared" si="47"/>
        <v>427315184.73952395</v>
      </c>
      <c r="Z78" s="288">
        <f t="shared" si="47"/>
        <v>444718592.65177161</v>
      </c>
      <c r="AA78" s="288">
        <f t="shared" si="47"/>
        <v>462818136.88050914</v>
      </c>
      <c r="AB78" s="288">
        <f t="shared" si="47"/>
        <v>481641662.87839615</v>
      </c>
      <c r="AC78" s="288">
        <f t="shared" si="47"/>
        <v>501218129.91619873</v>
      </c>
      <c r="AD78" s="288">
        <f t="shared" si="47"/>
        <v>521577655.63551331</v>
      </c>
      <c r="AE78" s="288">
        <f t="shared" si="47"/>
        <v>542751562.38360047</v>
      </c>
      <c r="AF78" s="288">
        <f t="shared" si="47"/>
        <v>564772425.40161133</v>
      </c>
      <c r="AG78" s="288">
        <f t="shared" si="47"/>
        <v>587674122.94034231</v>
      </c>
      <c r="AH78" s="288">
        <f t="shared" si="47"/>
        <v>611491888.38062274</v>
      </c>
      <c r="AI78" s="288">
        <f t="shared" si="47"/>
        <v>636262364.43851435</v>
      </c>
      <c r="AJ78" s="288">
        <f t="shared" si="47"/>
        <v>662023659.53872156</v>
      </c>
      <c r="AK78" s="288">
        <f t="shared" si="47"/>
        <v>688815406.44293714</v>
      </c>
      <c r="AL78" s="288">
        <f t="shared" si="47"/>
        <v>716678823.22332132</v>
      </c>
      <c r="AM78" s="288">
        <f t="shared" si="47"/>
        <v>745656776.6749208</v>
      </c>
    </row>
    <row r="79" spans="1:39" x14ac:dyDescent="0.2">
      <c r="A79" s="202" t="s">
        <v>305</v>
      </c>
      <c r="B79" s="287">
        <f t="shared" ref="B79:AM79" si="48">-B70</f>
        <v>0</v>
      </c>
      <c r="C79" s="287">
        <f>-C70</f>
        <v>932401.56799999985</v>
      </c>
      <c r="D79" s="287">
        <f t="shared" si="48"/>
        <v>1398602.3519999997</v>
      </c>
      <c r="E79" s="287">
        <f t="shared" si="48"/>
        <v>2641804.4426666666</v>
      </c>
      <c r="F79" s="287">
        <f>-C70</f>
        <v>932401.56799999985</v>
      </c>
      <c r="G79" s="287">
        <f t="shared" si="48"/>
        <v>3885006.5333333327</v>
      </c>
      <c r="H79" s="287">
        <f t="shared" si="48"/>
        <v>5594409.4079999989</v>
      </c>
      <c r="I79" s="287">
        <f t="shared" si="48"/>
        <v>7692312.9359999988</v>
      </c>
      <c r="J79" s="287">
        <f t="shared" si="48"/>
        <v>7770013.0666666655</v>
      </c>
      <c r="K79" s="287">
        <f t="shared" si="48"/>
        <v>7770013.0666666655</v>
      </c>
      <c r="L79" s="287">
        <f>-L70</f>
        <v>7770013.0666666655</v>
      </c>
      <c r="M79" s="287">
        <f>-M70</f>
        <v>7770013.0666666655</v>
      </c>
      <c r="N79" s="287">
        <f t="shared" si="48"/>
        <v>7770013.0666666655</v>
      </c>
      <c r="O79" s="287">
        <f t="shared" si="48"/>
        <v>7770013.0666666655</v>
      </c>
      <c r="P79" s="287">
        <f t="shared" si="48"/>
        <v>7770013.0666666655</v>
      </c>
      <c r="Q79" s="287">
        <f t="shared" si="48"/>
        <v>7770013.0666666655</v>
      </c>
      <c r="R79" s="287">
        <f t="shared" si="48"/>
        <v>7770013.0666666655</v>
      </c>
      <c r="S79" s="287">
        <f t="shared" si="48"/>
        <v>7770013.0666666655</v>
      </c>
      <c r="T79" s="287">
        <f t="shared" si="48"/>
        <v>7770013.0666666655</v>
      </c>
      <c r="U79" s="287">
        <f t="shared" si="48"/>
        <v>7770013.0666666655</v>
      </c>
      <c r="V79" s="287">
        <f t="shared" si="48"/>
        <v>7770013.0666666655</v>
      </c>
      <c r="W79" s="287">
        <f t="shared" si="48"/>
        <v>7770013.0666666655</v>
      </c>
      <c r="X79" s="287">
        <f t="shared" si="48"/>
        <v>7770013.0666666655</v>
      </c>
      <c r="Y79" s="287">
        <f t="shared" si="48"/>
        <v>7770013.0666666655</v>
      </c>
      <c r="Z79" s="287">
        <f t="shared" si="48"/>
        <v>7770013.0666666655</v>
      </c>
      <c r="AA79" s="287">
        <f t="shared" si="48"/>
        <v>7770013.0666666655</v>
      </c>
      <c r="AB79" s="287">
        <f t="shared" si="48"/>
        <v>7770013.0666666655</v>
      </c>
      <c r="AC79" s="287">
        <f t="shared" si="48"/>
        <v>7770013.0666666655</v>
      </c>
      <c r="AD79" s="287">
        <f t="shared" si="48"/>
        <v>7770013.0666666655</v>
      </c>
      <c r="AE79" s="287">
        <f t="shared" si="48"/>
        <v>7770013.0666666655</v>
      </c>
      <c r="AF79" s="287">
        <f t="shared" si="48"/>
        <v>7770013.0666666655</v>
      </c>
      <c r="AG79" s="287">
        <f t="shared" si="48"/>
        <v>7770013.0666666655</v>
      </c>
      <c r="AH79" s="287">
        <f t="shared" si="48"/>
        <v>7770013.0666666655</v>
      </c>
      <c r="AI79" s="287">
        <f t="shared" si="48"/>
        <v>7770013.0666666655</v>
      </c>
      <c r="AJ79" s="287">
        <f t="shared" si="48"/>
        <v>7770013.0666666655</v>
      </c>
      <c r="AK79" s="287">
        <f t="shared" si="48"/>
        <v>7770013.0666666655</v>
      </c>
      <c r="AL79" s="287">
        <f t="shared" si="48"/>
        <v>7770013.0666666655</v>
      </c>
      <c r="AM79" s="287">
        <f t="shared" si="48"/>
        <v>7770013.0666666655</v>
      </c>
    </row>
    <row r="80" spans="1:39" x14ac:dyDescent="0.2">
      <c r="A80" s="202" t="s">
        <v>304</v>
      </c>
      <c r="B80" s="287">
        <f t="shared" ref="B80:AM80" si="49">B72</f>
        <v>0</v>
      </c>
      <c r="C80" s="287">
        <f t="shared" si="49"/>
        <v>0</v>
      </c>
      <c r="D80" s="287">
        <f t="shared" si="49"/>
        <v>0</v>
      </c>
      <c r="E80" s="287">
        <f t="shared" si="49"/>
        <v>0</v>
      </c>
      <c r="F80" s="287">
        <f t="shared" si="49"/>
        <v>0</v>
      </c>
      <c r="G80" s="287">
        <f t="shared" si="49"/>
        <v>0</v>
      </c>
      <c r="H80" s="287">
        <f t="shared" si="49"/>
        <v>0</v>
      </c>
      <c r="I80" s="287">
        <f t="shared" si="49"/>
        <v>0</v>
      </c>
      <c r="J80" s="287">
        <f t="shared" si="49"/>
        <v>0</v>
      </c>
      <c r="K80" s="287">
        <f t="shared" si="49"/>
        <v>0</v>
      </c>
      <c r="L80" s="287">
        <f t="shared" si="49"/>
        <v>0</v>
      </c>
      <c r="M80" s="287">
        <f t="shared" si="49"/>
        <v>0</v>
      </c>
      <c r="N80" s="287">
        <f t="shared" si="49"/>
        <v>0</v>
      </c>
      <c r="O80" s="287">
        <f t="shared" si="49"/>
        <v>0</v>
      </c>
      <c r="P80" s="287">
        <f t="shared" si="49"/>
        <v>0</v>
      </c>
      <c r="Q80" s="287">
        <f t="shared" si="49"/>
        <v>0</v>
      </c>
      <c r="R80" s="287">
        <f t="shared" si="49"/>
        <v>0</v>
      </c>
      <c r="S80" s="287">
        <f t="shared" si="49"/>
        <v>0</v>
      </c>
      <c r="T80" s="287">
        <f t="shared" si="49"/>
        <v>0</v>
      </c>
      <c r="U80" s="287">
        <f t="shared" si="49"/>
        <v>0</v>
      </c>
      <c r="V80" s="287">
        <f t="shared" si="49"/>
        <v>0</v>
      </c>
      <c r="W80" s="287">
        <f t="shared" si="49"/>
        <v>0</v>
      </c>
      <c r="X80" s="287">
        <f t="shared" si="49"/>
        <v>0</v>
      </c>
      <c r="Y80" s="287">
        <f t="shared" si="49"/>
        <v>0</v>
      </c>
      <c r="Z80" s="287">
        <f t="shared" si="49"/>
        <v>0</v>
      </c>
      <c r="AA80" s="287">
        <f t="shared" si="49"/>
        <v>0</v>
      </c>
      <c r="AB80" s="287">
        <f t="shared" si="49"/>
        <v>0</v>
      </c>
      <c r="AC80" s="287">
        <f t="shared" si="49"/>
        <v>0</v>
      </c>
      <c r="AD80" s="287">
        <f t="shared" si="49"/>
        <v>0</v>
      </c>
      <c r="AE80" s="287">
        <f t="shared" si="49"/>
        <v>0</v>
      </c>
      <c r="AF80" s="287">
        <f t="shared" si="49"/>
        <v>0</v>
      </c>
      <c r="AG80" s="287">
        <f t="shared" si="49"/>
        <v>0</v>
      </c>
      <c r="AH80" s="287">
        <f t="shared" si="49"/>
        <v>0</v>
      </c>
      <c r="AI80" s="287">
        <f t="shared" si="49"/>
        <v>0</v>
      </c>
      <c r="AJ80" s="287">
        <f t="shared" si="49"/>
        <v>0</v>
      </c>
      <c r="AK80" s="287">
        <f t="shared" si="49"/>
        <v>0</v>
      </c>
      <c r="AL80" s="287">
        <f t="shared" si="49"/>
        <v>0</v>
      </c>
      <c r="AM80" s="287">
        <f t="shared" si="49"/>
        <v>0</v>
      </c>
    </row>
    <row r="81" spans="1:39" x14ac:dyDescent="0.2">
      <c r="A81" s="202" t="s">
        <v>303</v>
      </c>
      <c r="B81" s="287">
        <f>IF(SUM($B$74:B74)+SUM($A$81:A81)&gt;0,0,SUM($B$74:B74)-SUM($A$81:A81))</f>
        <v>-1566022.807027705</v>
      </c>
      <c r="C81" s="287">
        <f>IF(SUM($B$74:C74)+SUM($A$81:B81)&gt;0,0,SUM($B$74:C74)-SUM($A$81:B81))</f>
        <v>-1506390.3407969493</v>
      </c>
      <c r="D81" s="287">
        <f>IF(SUM($B$74:D74)+SUM($A$81:C81)&gt;0,0,SUM($B$74:D74)-SUM($A$81:C81))</f>
        <v>-8492293.3953523766</v>
      </c>
      <c r="E81" s="287">
        <f>IF(SUM($B$74:E74)+SUM($A$81:D81)&gt;0,0,SUM($B$74:E74)-SUM($A$81:D81))</f>
        <v>-15504736.480676457</v>
      </c>
      <c r="F81" s="287">
        <f>IF(SUM($B$74:F74)+SUM($A$81:E81)&gt;0,0,SUM($B$74:F74)-SUM($A$81:E81))</f>
        <v>-16486184.552401721</v>
      </c>
      <c r="G81" s="287">
        <f>IF(SUM($B$74:G74)+SUM($A$81:F81)&gt;0,0,SUM($B$74:G74)-SUM($A$81:F81))</f>
        <v>-25763888.456901126</v>
      </c>
      <c r="H81" s="287">
        <f>IF(SUM($B$74:H74)+SUM($A$81:G81)&gt;0,0,SUM($B$74:H74)-SUM($A$81:G81))</f>
        <v>-42884423.647624105</v>
      </c>
      <c r="I81" s="287">
        <f>IF(SUM($B$74:I74)+SUM($A$81:H81)&gt;0,0,SUM($B$74:I74)-SUM($A$81:H81))</f>
        <v>-44173825.023010612</v>
      </c>
      <c r="J81" s="287">
        <f>IF(SUM($B$74:J74)+SUM($A$81:I81)&gt;0,0,SUM($B$74:J74)-SUM($A$81:I81))</f>
        <v>-46118412.784254879</v>
      </c>
      <c r="K81" s="287">
        <f>IF(SUM($B$74:K74)+SUM($A$81:J81)&gt;0,0,SUM($B$74:K74)-SUM($A$81:J81))</f>
        <v>-48215999.061748743</v>
      </c>
      <c r="L81" s="287">
        <f>IF(SUM($B$74:L74)+SUM($A$81:K81)&gt;0,0,SUM($B$74:L74)-SUM($A$81:K81))</f>
        <v>-50405879.13545239</v>
      </c>
      <c r="M81" s="287">
        <f>IF(SUM($B$74:M74)+SUM($A$81:L81)&gt;0,0,SUM($B$74:M74)-SUM($A$81:L81))</f>
        <v>-52640154.05065012</v>
      </c>
      <c r="N81" s="287">
        <f>IF(SUM($B$74:N74)+SUM($A$81:M81)&gt;0,0,SUM($B$74:N74)-SUM($A$81:M81))</f>
        <v>-54916308.63053745</v>
      </c>
      <c r="O81" s="287">
        <f>IF(SUM($B$74:O74)+SUM($A$81:N81)&gt;0,0,SUM($B$74:O74)-SUM($A$81:N81))</f>
        <v>-57231591.391536176</v>
      </c>
      <c r="P81" s="287">
        <f>IF(SUM($B$74:P74)+SUM($A$81:O81)&gt;0,0,SUM($B$74:P74)-SUM($A$81:O81))</f>
        <v>-59583015.151730895</v>
      </c>
      <c r="Q81" s="287">
        <f>IF(SUM($B$74:Q74)+SUM($A$81:P81)&gt;0,0,SUM($B$74:Q74)-SUM($A$81:P81))</f>
        <v>-62028495.862333536</v>
      </c>
      <c r="R81" s="287">
        <f>IF(SUM($B$74:R74)+SUM($A$81:Q81)&gt;0,0,SUM($B$74:R74)-SUM($A$81:Q81))</f>
        <v>-64571795.80136013</v>
      </c>
      <c r="S81" s="287">
        <f>IF(SUM($B$74:S74)+SUM($A$81:R81)&gt;0,0,SUM($B$74:S74)-SUM($A$81:R81))</f>
        <v>-67216827.737947941</v>
      </c>
      <c r="T81" s="287">
        <f>IF(SUM($B$74:T74)+SUM($A$81:S81)&gt;0,0,SUM($B$74:T74)-SUM($A$81:S81))</f>
        <v>-69967660.951999187</v>
      </c>
      <c r="U81" s="287">
        <f>IF(SUM($B$74:U74)+SUM($A$81:T81)&gt;0,0,SUM($B$74:U74)-SUM($A$81:T81))</f>
        <v>-72828527.494612455</v>
      </c>
      <c r="V81" s="287">
        <f>IF(SUM($B$74:V74)+SUM($A$81:U81)&gt;0,0,SUM($B$74:V74)-SUM($A$81:U81))</f>
        <v>-75803828.698930264</v>
      </c>
      <c r="W81" s="287">
        <f>IF(SUM($B$74:W74)+SUM($A$81:V81)&gt;0,0,SUM($B$74:W74)-SUM($A$81:V81))</f>
        <v>-78898141.951420903</v>
      </c>
      <c r="X81" s="287">
        <f>IF(SUM($B$74:X74)+SUM($A$81:W81)&gt;0,0,SUM($B$74:X74)-SUM($A$81:W81))</f>
        <v>-82116227.734010935</v>
      </c>
      <c r="Y81" s="287">
        <f>IF(SUM($B$74:Y74)+SUM($A$81:X81)&gt;0,0,SUM($B$74:Y74)-SUM($A$81:X81))</f>
        <v>-85463036.947904825</v>
      </c>
      <c r="Z81" s="287">
        <f>IF(SUM($B$74:Z74)+SUM($A$81:Y81)&gt;0,0,SUM($B$74:Z74)-SUM($A$81:Y81))</f>
        <v>-88943718.530354261</v>
      </c>
      <c r="AA81" s="287">
        <f>IF(SUM($B$74:AA74)+SUM($A$81:Z81)&gt;0,0,SUM($B$74:AA74)-SUM($A$81:Z81))</f>
        <v>-92563627.376101732</v>
      </c>
      <c r="AB81" s="287">
        <f>IF(SUM($B$74:AB74)+SUM($A$81:AA81)&gt;0,0,SUM($B$74:AB74)-SUM($A$81:AA81))</f>
        <v>-96328332.575679302</v>
      </c>
      <c r="AC81" s="287">
        <f>IF(SUM($B$74:AC74)+SUM($A$81:AB81)&gt;0,0,SUM($B$74:AC74)-SUM($A$81:AB81))</f>
        <v>-100243625.98323965</v>
      </c>
      <c r="AD81" s="287">
        <f>IF(SUM($B$74:AD74)+SUM($A$81:AC81)&gt;0,0,SUM($B$74:AD74)-SUM($A$81:AC81))</f>
        <v>-104315531.12710261</v>
      </c>
      <c r="AE81" s="287">
        <f>IF(SUM($B$74:AE74)+SUM($A$81:AD81)&gt;0,0,SUM($B$74:AE74)-SUM($A$81:AD81))</f>
        <v>-108550312.47672009</v>
      </c>
      <c r="AF81" s="287">
        <f>IF(SUM($B$74:AF74)+SUM($A$81:AE81)&gt;0,0,SUM($B$74:AF74)-SUM($A$81:AE81))</f>
        <v>-112954485.08032227</v>
      </c>
      <c r="AG81" s="287">
        <f>IF(SUM($B$74:AG74)+SUM($A$81:AF81)&gt;0,0,SUM($B$74:AG74)-SUM($A$81:AF81))</f>
        <v>-117534824.58806849</v>
      </c>
      <c r="AH81" s="287">
        <f>IF(SUM($B$74:AH74)+SUM($A$81:AG81)&gt;0,0,SUM($B$74:AH74)-SUM($A$81:AG81))</f>
        <v>-122298377.67612457</v>
      </c>
      <c r="AI81" s="287">
        <f>IF(SUM($B$74:AI74)+SUM($A$81:AH81)&gt;0,0,SUM($B$74:AI74)-SUM($A$81:AH81))</f>
        <v>-127252472.88770294</v>
      </c>
      <c r="AJ81" s="287">
        <f>IF(SUM($B$74:AJ74)+SUM($A$81:AI81)&gt;0,0,SUM($B$74:AJ74)-SUM($A$81:AI81))</f>
        <v>-132404731.90774441</v>
      </c>
      <c r="AK81" s="287">
        <f>IF(SUM($B$74:AK74)+SUM($A$81:AJ81)&gt;0,0,SUM($B$74:AK74)-SUM($A$81:AJ81))</f>
        <v>-137763081.28858757</v>
      </c>
      <c r="AL81" s="287">
        <f>IF(SUM($B$74:AL74)+SUM($A$81:AK81)&gt;0,0,SUM($B$74:AL74)-SUM($A$81:AK81))</f>
        <v>-143335764.64466429</v>
      </c>
      <c r="AM81" s="287">
        <f>IF(SUM($B$74:AM74)+SUM($A$81:AL81)&gt;0,0,SUM($B$74:AM74)-SUM($A$81:AL81))</f>
        <v>-149131355.3349843</v>
      </c>
    </row>
    <row r="82" spans="1:39" x14ac:dyDescent="0.2">
      <c r="A82" s="202" t="s">
        <v>302</v>
      </c>
      <c r="B82" s="287">
        <f>IF(((SUM($B$62:B62)+SUM($B$64:B67))+SUM($B$84:B84))&lt;0,((SUM($B$62:B62)+SUM($B$64:B67))+SUM($B$84:B84))*0.18-SUM($A$82:A82),IF(SUM(A$82:$B82)&lt;0,0-SUM(A$82:$B82),0))</f>
        <v>-5740984.6136750653</v>
      </c>
      <c r="C82" s="287">
        <f>IF(((SUM($B$62:C62)+SUM($B$64:C67))+SUM($B$84:C84))&lt;0,((SUM($B$62:C62)+SUM($B$64:C67))+SUM($B$84:C84))*0.18-SUM($A$82:B82),IF(SUM($B$82:B82)&lt;0,0-SUM($B$82:B82),0))</f>
        <v>276188.70275725331</v>
      </c>
      <c r="D82" s="287">
        <f>IF(((SUM($B$62:D62)+SUM($B$64:D67))+SUM($B$84:D84))&lt;0,((SUM($B$62:D62)+SUM($B$64:D67))+SUM($B$84:D84))*0.18-SUM($A$82:C82),IF(SUM($B$82:C82)&lt;0,0-SUM($B$82:C82),0))</f>
        <v>753610.9623771403</v>
      </c>
      <c r="E82" s="287">
        <f>IF(((SUM($B$62:E62)+SUM($B$64:E67))+SUM($B$84:E84))&lt;0,((SUM($B$62:E62)+SUM($B$64:E67))+SUM($B$84:E84))*0.18-SUM($A$82:D82),IF(SUM($B$82:D82)&lt;0,0-SUM($B$82:D82),0))</f>
        <v>4711184.9485406717</v>
      </c>
      <c r="F82" s="287">
        <f>IF(((SUM($B$62:F62)+SUM($B$64:F67))+SUM($B$84:F84))&lt;0,((SUM($B$62:F62)+SUM($B$64:F67))+SUM($B$84:F84))*0.18-SUM($A$82:E82),IF(SUM($B$82:E82)&lt;0,0-SUM($B$82:E82),0))</f>
        <v>0</v>
      </c>
      <c r="G82" s="287">
        <f>IF(((SUM($B$62:G62)+SUM($B$64:G67))+SUM($B$84:G84))&lt;0,((SUM($B$62:G62)+SUM($B$64:G67))+SUM($B$84:G84))*0.18-SUM($A$82:F82),IF(SUM($B$82:F82)&lt;0,0-SUM($B$82:F82),0))</f>
        <v>0</v>
      </c>
      <c r="H82" s="287">
        <f>IF(((SUM($B$62:H62)+SUM($B$64:H67))+SUM($B$84:H84))&lt;0,((SUM($B$62:H62)+SUM($B$64:H67))+SUM($B$84:H84))*0.18-SUM($A$82:G82),IF(SUM($B$82:G82)&lt;0,0-SUM($B$82:G82),0))</f>
        <v>0</v>
      </c>
      <c r="I82" s="287">
        <f>IF(((SUM($B$62:I62)+SUM($B$64:I67))+SUM($B$84:I84))&lt;0,((SUM($B$62:I62)+SUM($B$64:I67))+SUM($B$84:I84))*0.18-SUM($A$82:H82),IF(SUM($B$82:H82)&lt;0,0-SUM($B$82:H82),0))</f>
        <v>0</v>
      </c>
      <c r="J82" s="287">
        <f>IF(((SUM($B$62:J62)+SUM($B$64:J67))+SUM($B$84:J84))&lt;0,((SUM($B$62:J62)+SUM($B$64:J67))+SUM($B$84:J84))*0.18-SUM($A$82:I82),IF(SUM($B$82:I82)&lt;0,0-SUM($B$82:I82),0))</f>
        <v>0</v>
      </c>
      <c r="K82" s="287">
        <f>IF(((SUM($B$62:K62)+SUM($B$64:K67))+SUM($B$84:K84))&lt;0,((SUM($B$62:K62)+SUM($B$64:K67))+SUM($B$84:K84))*0.18-SUM($A$82:J82),IF(SUM($B$82:J82)&lt;0,0-SUM($B$82:J82),0))</f>
        <v>0</v>
      </c>
      <c r="L82" s="287">
        <f>IF(((SUM($B$62:L62)+SUM($B$64:L67))+SUM($B$84:L84))&lt;0,((SUM($B$62:L62)+SUM($B$64:L67))+SUM($B$84:L84))*0.18-SUM($A$82:K82),IF(SUM($B$82:K82)&lt;0,0-SUM($B$82:K82),0))</f>
        <v>0</v>
      </c>
      <c r="M82" s="287">
        <f>IF(((SUM($B$62:M62)+SUM($B$64:M67))+SUM($B$84:M84))&lt;0,((SUM($B$62:M62)+SUM($B$64:M67))+SUM($B$84:M84))*0.18-SUM($A$82:L82),IF(SUM($B$82:L82)&lt;0,0-SUM($B$82:L82),0))</f>
        <v>0</v>
      </c>
      <c r="N82" s="287">
        <f>IF(((SUM($B$62:N62)+SUM($B$64:N67))+SUM($B$84:N84))&lt;0,((SUM($B$62:N62)+SUM($B$64:N67))+SUM($B$84:N84))*0.18-SUM($A$82:M82),IF(SUM($B$82:M82)&lt;0,0-SUM($B$82:M82),0))</f>
        <v>0</v>
      </c>
      <c r="O82" s="287">
        <f>IF(((SUM($B$62:O62)+SUM($B$64:O67))+SUM($B$84:O84))&lt;0,((SUM($B$62:O62)+SUM($B$64:O67))+SUM($B$84:O84))*0.18-SUM($A$82:N82),IF(SUM($B$82:N82)&lt;0,0-SUM($B$82:N82),0))</f>
        <v>0</v>
      </c>
      <c r="P82" s="287">
        <f>IF(((SUM($B$62:P62)+SUM($B$64:P67))+SUM($B$84:P84))&lt;0,((SUM($B$62:P62)+SUM($B$64:P67))+SUM($B$84:P84))*0.18-SUM($A$82:O82),IF(SUM($B$82:O82)&lt;0,0-SUM($B$82:O82),0))</f>
        <v>0</v>
      </c>
      <c r="Q82" s="287">
        <f>IF(((SUM($B$62:Q62)+SUM($B$64:Q67))+SUM($B$84:Q84))&lt;0,((SUM($B$62:Q62)+SUM($B$64:Q67))+SUM($B$84:Q84))*0.18-SUM($A$82:P82),IF(SUM($B$82:P82)&lt;0,0-SUM($B$82:P82),0))</f>
        <v>0</v>
      </c>
      <c r="R82" s="287">
        <f>IF(((SUM($B$62:R62)+SUM($B$64:R67))+SUM($B$84:R84))&lt;0,((SUM($B$62:R62)+SUM($B$64:R67))+SUM($B$84:R84))*0.18-SUM($A$82:Q82),IF(SUM($B$82:Q82)&lt;0,0-SUM($B$82:Q82),0))</f>
        <v>0</v>
      </c>
      <c r="S82" s="287">
        <f>IF(((SUM($B$62:S62)+SUM($B$64:S67))+SUM($B$84:S84))&lt;0,((SUM($B$62:S62)+SUM($B$64:S67))+SUM($B$84:S84))*0.18-SUM($A$82:R82),IF(SUM($B$82:R82)&lt;0,0-SUM($B$82:R82),0))</f>
        <v>0</v>
      </c>
      <c r="T82" s="287">
        <f>IF(((SUM($B$62:T62)+SUM($B$64:T67))+SUM($B$84:T84))&lt;0,((SUM($B$62:T62)+SUM($B$64:T67))+SUM($B$84:T84))*0.18-SUM($A$82:S82),IF(SUM($B$82:S82)&lt;0,0-SUM($B$82:S82),0))</f>
        <v>0</v>
      </c>
      <c r="U82" s="287">
        <f>IF(((SUM($B$62:U62)+SUM($B$64:U67))+SUM($B$84:U84))&lt;0,((SUM($B$62:U62)+SUM($B$64:U67))+SUM($B$84:U84))*0.18-SUM($A$82:T82),IF(SUM($B$82:T82)&lt;0,0-SUM($B$82:T82),0))</f>
        <v>0</v>
      </c>
      <c r="V82" s="287">
        <f>IF(((SUM($B$62:V62)+SUM($B$64:V67))+SUM($B$84:V84))&lt;0,((SUM($B$62:V62)+SUM($B$64:V67))+SUM($B$84:V84))*0.18-SUM($A$82:U82),IF(SUM($B$82:U82)&lt;0,0-SUM($B$82:U82),0))</f>
        <v>0</v>
      </c>
      <c r="W82" s="287">
        <f>IF(((SUM($B$62:W62)+SUM($B$64:W67))+SUM($B$84:W84))&lt;0,((SUM($B$62:W62)+SUM($B$64:W67))+SUM($B$84:W84))*0.18-SUM($A$82:V82),IF(SUM($B$82:V82)&lt;0,0-SUM($B$82:V82),0))</f>
        <v>0</v>
      </c>
      <c r="X82" s="287">
        <f>IF(((SUM($B$62:X62)+SUM($B$64:X67))+SUM($B$84:X84))&lt;0,((SUM($B$62:X62)+SUM($B$64:X67))+SUM($B$84:X84))*0.18-SUM($A$82:W82),IF(SUM($B$82:W82)&lt;0,0-SUM($B$82:W82),0))</f>
        <v>0</v>
      </c>
      <c r="Y82" s="287">
        <f>IF(((SUM($B$62:Y62)+SUM($B$64:Y67))+SUM($B$84:Y84))&lt;0,((SUM($B$62:Y62)+SUM($B$64:Y67))+SUM($B$84:Y84))*0.18-SUM($A$82:X82),IF(SUM($B$82:X82)&lt;0,0-SUM($B$82:X82),0))</f>
        <v>0</v>
      </c>
      <c r="Z82" s="287">
        <f>IF(((SUM($B$62:Z62)+SUM($B$64:Z67))+SUM($B$84:Z84))&lt;0,((SUM($B$62:Z62)+SUM($B$64:Z67))+SUM($B$84:Z84))*0.18-SUM($A$82:Y82),IF(SUM($B$82:Y82)&lt;0,0-SUM($B$82:Y82),0))</f>
        <v>0</v>
      </c>
      <c r="AA82" s="287">
        <f>IF(((SUM($B$62:AA62)+SUM($B$64:AA67))+SUM($B$84:AA84))&lt;0,((SUM($B$62:AA62)+SUM($B$64:AA67))+SUM($B$84:AA84))*0.18-SUM($A$82:Z82),IF(SUM($B$82:Z82)&lt;0,0-SUM($B$82:Z82),0))</f>
        <v>0</v>
      </c>
      <c r="AB82" s="287">
        <f>IF(((SUM($B$62:AB62)+SUM($B$64:AB67))+SUM($B$84:AB84))&lt;0,((SUM($B$62:AB62)+SUM($B$64:AB67))+SUM($B$84:AB84))*0.18-SUM($A$82:AA82),IF(SUM($B$82:AA82)&lt;0,0-SUM($B$82:AA82),0))</f>
        <v>0</v>
      </c>
      <c r="AC82" s="287">
        <f>IF(((SUM($B$62:AC62)+SUM($B$64:AC67))+SUM($B$84:AC84))&lt;0,((SUM($B$62:AC62)+SUM($B$64:AC67))+SUM($B$84:AC84))*0.18-SUM($A$82:AB82),IF(SUM($B$82:AB82)&lt;0,0-SUM($B$82:AB82),0))</f>
        <v>0</v>
      </c>
      <c r="AD82" s="287">
        <f>IF(((SUM($B$62:AD62)+SUM($B$64:AD67))+SUM($B$84:AD84))&lt;0,((SUM($B$62:AD62)+SUM($B$64:AD67))+SUM($B$84:AD84))*0.18-SUM($A$82:AC82),IF(SUM($B$82:AC82)&lt;0,0-SUM($B$82:AC82),0))</f>
        <v>0</v>
      </c>
      <c r="AE82" s="287">
        <f>IF(((SUM($B$62:AE62)+SUM($B$64:AE67))+SUM($B$84:AE84))&lt;0,((SUM($B$62:AE62)+SUM($B$64:AE67))+SUM($B$84:AE84))*0.18-SUM($A$82:AD82),IF(SUM($B$82:AD82)&lt;0,0-SUM($B$82:AD82),0))</f>
        <v>0</v>
      </c>
      <c r="AF82" s="287">
        <f>IF(((SUM($B$62:AF62)+SUM($B$64:AF67))+SUM($B$84:AF84))&lt;0,((SUM($B$62:AF62)+SUM($B$64:AF67))+SUM($B$84:AF84))*0.18-SUM($A$82:AE82),IF(SUM($B$82:AE82)&lt;0,0-SUM($B$82:AE82),0))</f>
        <v>0</v>
      </c>
      <c r="AG82" s="287">
        <f>IF(((SUM($B$62:AG62)+SUM($B$64:AG67))+SUM($B$84:AG84))&lt;0,((SUM($B$62:AG62)+SUM($B$64:AG67))+SUM($B$84:AG84))*0.18-SUM($A$82:AF82),IF(SUM($B$82:AF82)&lt;0,0-SUM($B$82:AF82),0))</f>
        <v>0</v>
      </c>
      <c r="AH82" s="287">
        <f>IF(((SUM($B$62:AH62)+SUM($B$64:AH67))+SUM($B$84:AH84))&lt;0,((SUM($B$62:AH62)+SUM($B$64:AH67))+SUM($B$84:AH84))*0.18-SUM($A$82:AG82),IF(SUM($B$82:AG82)&lt;0,0-SUM($B$82:AG82),0))</f>
        <v>0</v>
      </c>
      <c r="AI82" s="287">
        <f>IF(((SUM($B$62:AI62)+SUM($B$64:AI67))+SUM($B$84:AI84))&lt;0,((SUM($B$62:AI62)+SUM($B$64:AI67))+SUM($B$84:AI84))*0.18-SUM($A$82:AH82),IF(SUM($B$82:AH82)&lt;0,0-SUM($B$82:AH82),0))</f>
        <v>0</v>
      </c>
      <c r="AJ82" s="287">
        <f>IF(((SUM($B$62:AJ62)+SUM($B$64:AJ67))+SUM($B$84:AJ84))&lt;0,((SUM($B$62:AJ62)+SUM($B$64:AJ67))+SUM($B$84:AJ84))*0.18-SUM($A$82:AI82),IF(SUM($B$82:AI82)&lt;0,0-SUM($B$82:AI82),0))</f>
        <v>0</v>
      </c>
      <c r="AK82" s="287">
        <f>IF(((SUM($B$62:AK62)+SUM($B$64:AK67))+SUM($B$84:AK84))&lt;0,((SUM($B$62:AK62)+SUM($B$64:AK67))+SUM($B$84:AK84))*0.18-SUM($A$82:AJ82),IF(SUM($B$82:AJ82)&lt;0,0-SUM($B$82:AJ82),0))</f>
        <v>0</v>
      </c>
      <c r="AL82" s="287">
        <f>IF(((SUM($B$62:AL62)+SUM($B$64:AL67))+SUM($B$84:AL84))&lt;0,((SUM($B$62:AL62)+SUM($B$64:AL67))+SUM($B$84:AL84))*0.18-SUM($A$82:AK82),IF(SUM($B$82:AK82)&lt;0,0-SUM($B$82:AK82),0))</f>
        <v>0</v>
      </c>
      <c r="AM82" s="287">
        <f>IF(((SUM($B$62:AM62)+SUM($B$64:AM67))+SUM($B$84:AM84))&lt;0,((SUM($B$62:AM62)+SUM($B$64:AM67))+SUM($B$84:AM84))*0.18-SUM($A$82:AL82),IF(SUM($B$82:AL82)&lt;0,0-SUM($B$82:AL82),0))</f>
        <v>0</v>
      </c>
    </row>
    <row r="83" spans="1:39" x14ac:dyDescent="0.2">
      <c r="A83" s="202" t="s">
        <v>301</v>
      </c>
      <c r="B83" s="287">
        <f>-B62*(B39)</f>
        <v>0</v>
      </c>
      <c r="C83" s="287">
        <f t="shared" ref="C83:AM83" si="50">-(C62-B62)*$B$39</f>
        <v>0</v>
      </c>
      <c r="D83" s="287">
        <f t="shared" si="50"/>
        <v>0</v>
      </c>
      <c r="E83" s="287">
        <f t="shared" si="50"/>
        <v>0</v>
      </c>
      <c r="F83" s="287">
        <f t="shared" si="50"/>
        <v>0</v>
      </c>
      <c r="G83" s="287">
        <f t="shared" si="50"/>
        <v>0</v>
      </c>
      <c r="H83" s="287">
        <f t="shared" si="50"/>
        <v>0</v>
      </c>
      <c r="I83" s="287">
        <f t="shared" si="50"/>
        <v>0</v>
      </c>
      <c r="J83" s="287">
        <f t="shared" si="50"/>
        <v>0</v>
      </c>
      <c r="K83" s="287">
        <f t="shared" si="50"/>
        <v>0</v>
      </c>
      <c r="L83" s="287">
        <f t="shared" si="50"/>
        <v>0</v>
      </c>
      <c r="M83" s="287">
        <f t="shared" si="50"/>
        <v>0</v>
      </c>
      <c r="N83" s="287">
        <f t="shared" si="50"/>
        <v>0</v>
      </c>
      <c r="O83" s="287">
        <f t="shared" si="50"/>
        <v>0</v>
      </c>
      <c r="P83" s="287">
        <f t="shared" si="50"/>
        <v>0</v>
      </c>
      <c r="Q83" s="287">
        <f t="shared" si="50"/>
        <v>0</v>
      </c>
      <c r="R83" s="287">
        <f t="shared" si="50"/>
        <v>0</v>
      </c>
      <c r="S83" s="287">
        <f t="shared" si="50"/>
        <v>0</v>
      </c>
      <c r="T83" s="287">
        <f t="shared" si="50"/>
        <v>0</v>
      </c>
      <c r="U83" s="287">
        <f t="shared" si="50"/>
        <v>0</v>
      </c>
      <c r="V83" s="287">
        <f t="shared" si="50"/>
        <v>0</v>
      </c>
      <c r="W83" s="287">
        <f t="shared" si="50"/>
        <v>0</v>
      </c>
      <c r="X83" s="287">
        <f t="shared" si="50"/>
        <v>0</v>
      </c>
      <c r="Y83" s="287">
        <f t="shared" si="50"/>
        <v>0</v>
      </c>
      <c r="Z83" s="287">
        <f t="shared" si="50"/>
        <v>0</v>
      </c>
      <c r="AA83" s="287">
        <f t="shared" si="50"/>
        <v>0</v>
      </c>
      <c r="AB83" s="287">
        <f t="shared" si="50"/>
        <v>0</v>
      </c>
      <c r="AC83" s="287">
        <f t="shared" si="50"/>
        <v>0</v>
      </c>
      <c r="AD83" s="287">
        <f t="shared" si="50"/>
        <v>0</v>
      </c>
      <c r="AE83" s="287">
        <f t="shared" si="50"/>
        <v>0</v>
      </c>
      <c r="AF83" s="287">
        <f t="shared" si="50"/>
        <v>0</v>
      </c>
      <c r="AG83" s="287">
        <f t="shared" si="50"/>
        <v>0</v>
      </c>
      <c r="AH83" s="287">
        <f t="shared" si="50"/>
        <v>0</v>
      </c>
      <c r="AI83" s="287">
        <f t="shared" si="50"/>
        <v>0</v>
      </c>
      <c r="AJ83" s="287">
        <f t="shared" si="50"/>
        <v>0</v>
      </c>
      <c r="AK83" s="287">
        <f t="shared" si="50"/>
        <v>0</v>
      </c>
      <c r="AL83" s="287">
        <f t="shared" si="50"/>
        <v>0</v>
      </c>
      <c r="AM83" s="287">
        <f t="shared" si="50"/>
        <v>0</v>
      </c>
    </row>
    <row r="84" spans="1:39" x14ac:dyDescent="0.2">
      <c r="A84" s="202" t="s">
        <v>533</v>
      </c>
      <c r="B84" s="287">
        <v>-39724473</v>
      </c>
      <c r="C84" s="287">
        <v>-6929971.5899999999</v>
      </c>
      <c r="D84" s="287">
        <v>-39673341.759999998</v>
      </c>
      <c r="E84" s="287">
        <v>-33193900</v>
      </c>
      <c r="F84" s="287">
        <v>-843.69999999999993</v>
      </c>
      <c r="G84" s="287">
        <v>-1187647.68</v>
      </c>
      <c r="H84" s="287">
        <v>-128682478.59999999</v>
      </c>
      <c r="I84" s="287">
        <v>16292264.330000002</v>
      </c>
      <c r="J84" s="287"/>
      <c r="K84" s="287"/>
      <c r="L84" s="287"/>
      <c r="M84" s="287"/>
      <c r="N84" s="287"/>
      <c r="O84" s="287"/>
      <c r="P84" s="287"/>
      <c r="Q84" s="287"/>
      <c r="R84" s="287"/>
      <c r="S84" s="287"/>
      <c r="T84" s="287"/>
      <c r="U84" s="287"/>
      <c r="V84" s="287"/>
      <c r="W84" s="287"/>
      <c r="X84" s="287"/>
      <c r="Y84" s="287"/>
      <c r="Z84" s="287"/>
      <c r="AA84" s="287"/>
      <c r="AB84" s="287"/>
      <c r="AC84" s="287"/>
      <c r="AD84" s="287"/>
      <c r="AE84" s="287"/>
      <c r="AF84" s="287"/>
      <c r="AG84" s="287"/>
      <c r="AH84" s="287"/>
      <c r="AI84" s="287"/>
      <c r="AJ84" s="287"/>
      <c r="AK84" s="287"/>
      <c r="AL84" s="287"/>
      <c r="AM84" s="287"/>
    </row>
    <row r="85" spans="1:39" x14ac:dyDescent="0.2">
      <c r="A85" s="202" t="s">
        <v>300</v>
      </c>
      <c r="B85" s="287">
        <f t="shared" ref="B85:AM85" si="51">B57-B58</f>
        <v>0</v>
      </c>
      <c r="C85" s="287">
        <f t="shared" si="51"/>
        <v>0</v>
      </c>
      <c r="D85" s="287">
        <f t="shared" si="51"/>
        <v>0</v>
      </c>
      <c r="E85" s="287">
        <f t="shared" si="51"/>
        <v>0</v>
      </c>
      <c r="F85" s="287">
        <f t="shared" si="51"/>
        <v>0</v>
      </c>
      <c r="G85" s="287">
        <f t="shared" si="51"/>
        <v>0</v>
      </c>
      <c r="H85" s="287">
        <f t="shared" si="51"/>
        <v>0</v>
      </c>
      <c r="I85" s="287">
        <f t="shared" si="51"/>
        <v>0</v>
      </c>
      <c r="J85" s="287">
        <f t="shared" si="51"/>
        <v>0</v>
      </c>
      <c r="K85" s="287">
        <f t="shared" si="51"/>
        <v>0</v>
      </c>
      <c r="L85" s="287">
        <f t="shared" si="51"/>
        <v>0</v>
      </c>
      <c r="M85" s="287">
        <f t="shared" si="51"/>
        <v>0</v>
      </c>
      <c r="N85" s="287">
        <f t="shared" si="51"/>
        <v>0</v>
      </c>
      <c r="O85" s="287">
        <f t="shared" si="51"/>
        <v>0</v>
      </c>
      <c r="P85" s="287">
        <f t="shared" si="51"/>
        <v>0</v>
      </c>
      <c r="Q85" s="287">
        <f t="shared" si="51"/>
        <v>0</v>
      </c>
      <c r="R85" s="287">
        <f t="shared" si="51"/>
        <v>0</v>
      </c>
      <c r="S85" s="287">
        <f t="shared" si="51"/>
        <v>0</v>
      </c>
      <c r="T85" s="287">
        <f t="shared" si="51"/>
        <v>0</v>
      </c>
      <c r="U85" s="287">
        <f t="shared" si="51"/>
        <v>0</v>
      </c>
      <c r="V85" s="287">
        <f t="shared" si="51"/>
        <v>0</v>
      </c>
      <c r="W85" s="287">
        <f t="shared" si="51"/>
        <v>0</v>
      </c>
      <c r="X85" s="287">
        <f t="shared" si="51"/>
        <v>0</v>
      </c>
      <c r="Y85" s="287">
        <f t="shared" si="51"/>
        <v>0</v>
      </c>
      <c r="Z85" s="287">
        <f t="shared" si="51"/>
        <v>0</v>
      </c>
      <c r="AA85" s="287">
        <f t="shared" si="51"/>
        <v>0</v>
      </c>
      <c r="AB85" s="287">
        <f t="shared" si="51"/>
        <v>0</v>
      </c>
      <c r="AC85" s="287">
        <f t="shared" si="51"/>
        <v>0</v>
      </c>
      <c r="AD85" s="287">
        <f t="shared" si="51"/>
        <v>0</v>
      </c>
      <c r="AE85" s="287">
        <f t="shared" si="51"/>
        <v>0</v>
      </c>
      <c r="AF85" s="287">
        <f t="shared" si="51"/>
        <v>0</v>
      </c>
      <c r="AG85" s="287">
        <f t="shared" si="51"/>
        <v>0</v>
      </c>
      <c r="AH85" s="287">
        <f t="shared" si="51"/>
        <v>0</v>
      </c>
      <c r="AI85" s="287">
        <f t="shared" si="51"/>
        <v>0</v>
      </c>
      <c r="AJ85" s="287">
        <f t="shared" si="51"/>
        <v>0</v>
      </c>
      <c r="AK85" s="287">
        <f t="shared" si="51"/>
        <v>0</v>
      </c>
      <c r="AL85" s="287">
        <f t="shared" si="51"/>
        <v>0</v>
      </c>
      <c r="AM85" s="287">
        <f t="shared" si="51"/>
        <v>0</v>
      </c>
    </row>
    <row r="86" spans="1:39" ht="14.25" x14ac:dyDescent="0.2">
      <c r="A86" s="203" t="s">
        <v>299</v>
      </c>
      <c r="B86" s="288">
        <f>SUM(B78:B85)</f>
        <v>-39201366.385564245</v>
      </c>
      <c r="C86" s="288">
        <f t="shared" ref="C86:V86" si="52">SUM(C78:C85)</f>
        <v>304180.04394504894</v>
      </c>
      <c r="D86" s="288">
        <f t="shared" si="52"/>
        <v>-3551954.8642133623</v>
      </c>
      <c r="E86" s="288">
        <f t="shared" si="52"/>
        <v>36178035.313913167</v>
      </c>
      <c r="F86" s="288">
        <f t="shared" si="52"/>
        <v>66876296.077606872</v>
      </c>
      <c r="G86" s="288">
        <f t="shared" si="52"/>
        <v>105752912.6809378</v>
      </c>
      <c r="H86" s="288">
        <f t="shared" si="52"/>
        <v>48449625.39849636</v>
      </c>
      <c r="I86" s="288">
        <f t="shared" si="52"/>
        <v>200679877.35804239</v>
      </c>
      <c r="J86" s="288">
        <f t="shared" si="52"/>
        <v>192243664.20368609</v>
      </c>
      <c r="K86" s="288">
        <f t="shared" si="52"/>
        <v>200634009.31366163</v>
      </c>
      <c r="L86" s="288">
        <f t="shared" si="52"/>
        <v>209393529.60847604</v>
      </c>
      <c r="M86" s="288">
        <f t="shared" si="52"/>
        <v>218330629.2692672</v>
      </c>
      <c r="N86" s="288">
        <f t="shared" si="52"/>
        <v>227435247.5888164</v>
      </c>
      <c r="O86" s="288">
        <f t="shared" si="52"/>
        <v>236696378.63281119</v>
      </c>
      <c r="P86" s="288">
        <f t="shared" si="52"/>
        <v>246102073.67359036</v>
      </c>
      <c r="Q86" s="288">
        <f t="shared" si="52"/>
        <v>255883996.51600057</v>
      </c>
      <c r="R86" s="288">
        <f t="shared" si="52"/>
        <v>266057196.27210736</v>
      </c>
      <c r="S86" s="288">
        <f t="shared" si="52"/>
        <v>276637324.01845825</v>
      </c>
      <c r="T86" s="288">
        <f t="shared" si="52"/>
        <v>287640656.87466323</v>
      </c>
      <c r="U86" s="288">
        <f t="shared" si="52"/>
        <v>299084123.04511648</v>
      </c>
      <c r="V86" s="288">
        <f t="shared" si="52"/>
        <v>310985327.86238784</v>
      </c>
      <c r="W86" s="288">
        <f>SUM(W78:W85)</f>
        <v>323362580.87234998</v>
      </c>
      <c r="X86" s="288">
        <f>SUM(X78:X85)</f>
        <v>336234924.00271076</v>
      </c>
      <c r="Y86" s="288">
        <f>SUM(Y78:Y85)</f>
        <v>349622160.85828578</v>
      </c>
      <c r="Z86" s="288">
        <f>SUM(Z78:Z85)</f>
        <v>363544887.18808401</v>
      </c>
      <c r="AA86" s="288">
        <f t="shared" ref="AA86:AM86" si="53">SUM(AA78:AA85)</f>
        <v>378024522.57107407</v>
      </c>
      <c r="AB86" s="288">
        <f t="shared" si="53"/>
        <v>393083343.36938351</v>
      </c>
      <c r="AC86" s="288">
        <f t="shared" si="53"/>
        <v>408744516.99962574</v>
      </c>
      <c r="AD86" s="288">
        <f t="shared" si="53"/>
        <v>425032137.57507735</v>
      </c>
      <c r="AE86" s="288">
        <f t="shared" si="53"/>
        <v>441971262.9735471</v>
      </c>
      <c r="AF86" s="288">
        <f t="shared" si="53"/>
        <v>459587953.38795578</v>
      </c>
      <c r="AG86" s="288">
        <f t="shared" si="53"/>
        <v>477909311.41894054</v>
      </c>
      <c r="AH86" s="288">
        <f t="shared" si="53"/>
        <v>496963523.77116489</v>
      </c>
      <c r="AI86" s="288">
        <f t="shared" si="53"/>
        <v>516779904.61747813</v>
      </c>
      <c r="AJ86" s="288">
        <f t="shared" si="53"/>
        <v>537388940.69764388</v>
      </c>
      <c r="AK86" s="288">
        <f t="shared" si="53"/>
        <v>558822338.22101629</v>
      </c>
      <c r="AL86" s="288">
        <f t="shared" si="53"/>
        <v>581113071.64532375</v>
      </c>
      <c r="AM86" s="288">
        <f t="shared" si="53"/>
        <v>604295434.40660322</v>
      </c>
    </row>
    <row r="87" spans="1:39" ht="14.25" x14ac:dyDescent="0.2">
      <c r="A87" s="203" t="s">
        <v>298</v>
      </c>
      <c r="B87" s="288">
        <f>SUM($B$86:B86)</f>
        <v>-39201366.385564245</v>
      </c>
      <c r="C87" s="288">
        <f>SUM($B$86:C86)</f>
        <v>-38897186.341619194</v>
      </c>
      <c r="D87" s="288">
        <f>SUM($B$86:D86)</f>
        <v>-42449141.205832556</v>
      </c>
      <c r="E87" s="288">
        <f>SUM($B$86:E86)</f>
        <v>-6271105.8919193894</v>
      </c>
      <c r="F87" s="288">
        <f>SUM($B$86:F86)</f>
        <v>60605190.185687482</v>
      </c>
      <c r="G87" s="288">
        <f>SUM($B$86:G86)</f>
        <v>166358102.86662528</v>
      </c>
      <c r="H87" s="288">
        <f>SUM($B$86:H86)</f>
        <v>214807728.26512164</v>
      </c>
      <c r="I87" s="288">
        <f>SUM($B$86:I86)</f>
        <v>415487605.62316406</v>
      </c>
      <c r="J87" s="288">
        <f>SUM($B$86:J86)</f>
        <v>607731269.82685018</v>
      </c>
      <c r="K87" s="288">
        <f>SUM($B$86:K86)</f>
        <v>808365279.14051175</v>
      </c>
      <c r="L87" s="288">
        <f>SUM($B$86:L86)</f>
        <v>1017758808.7489878</v>
      </c>
      <c r="M87" s="288">
        <f>SUM($B$86:M86)</f>
        <v>1236089438.018255</v>
      </c>
      <c r="N87" s="288">
        <f>SUM($B$86:N86)</f>
        <v>1463524685.6070714</v>
      </c>
      <c r="O87" s="288">
        <f>SUM($B$86:O86)</f>
        <v>1700221064.2398825</v>
      </c>
      <c r="P87" s="288">
        <f>SUM($B$86:P86)</f>
        <v>1946323137.9134729</v>
      </c>
      <c r="Q87" s="288">
        <f>SUM($B$86:Q86)</f>
        <v>2202207134.4294734</v>
      </c>
      <c r="R87" s="288">
        <f>SUM($B$86:R86)</f>
        <v>2468264330.701581</v>
      </c>
      <c r="S87" s="288">
        <f>SUM($B$86:S86)</f>
        <v>2744901654.7200394</v>
      </c>
      <c r="T87" s="288">
        <f>SUM($B$86:T86)</f>
        <v>3032542311.5947027</v>
      </c>
      <c r="U87" s="288">
        <f>SUM($B$86:U86)</f>
        <v>3331626434.6398191</v>
      </c>
      <c r="V87" s="288">
        <f>SUM($B$86:V86)</f>
        <v>3642611762.5022068</v>
      </c>
      <c r="W87" s="288">
        <f>SUM($B$86:W86)</f>
        <v>3965974343.3745565</v>
      </c>
      <c r="X87" s="288">
        <f>SUM($B$86:X86)</f>
        <v>4302209267.3772669</v>
      </c>
      <c r="Y87" s="288">
        <f>SUM($B$86:Y86)</f>
        <v>4651831428.2355528</v>
      </c>
      <c r="Z87" s="288">
        <f>SUM($B$86:Z86)</f>
        <v>5015376315.4236364</v>
      </c>
      <c r="AA87" s="288">
        <f>SUM($B$86:AA86)</f>
        <v>5393400837.9947109</v>
      </c>
      <c r="AB87" s="288">
        <f>SUM($B$86:AB86)</f>
        <v>5786484181.3640947</v>
      </c>
      <c r="AC87" s="288">
        <f>SUM($B$86:AC86)</f>
        <v>6195228698.3637209</v>
      </c>
      <c r="AD87" s="288">
        <f>SUM($B$86:AD86)</f>
        <v>6620260835.938798</v>
      </c>
      <c r="AE87" s="288">
        <f>SUM($B$86:AE86)</f>
        <v>7062232098.9123449</v>
      </c>
      <c r="AF87" s="288">
        <f>SUM($B$86:AF86)</f>
        <v>7521820052.3003006</v>
      </c>
      <c r="AG87" s="288">
        <f>SUM($B$86:AG86)</f>
        <v>7999729363.7192411</v>
      </c>
      <c r="AH87" s="288">
        <f>SUM($B$86:AH86)</f>
        <v>8496692887.490406</v>
      </c>
      <c r="AI87" s="288">
        <f>SUM($B$86:AI86)</f>
        <v>9013472792.1078835</v>
      </c>
      <c r="AJ87" s="288">
        <f>SUM($B$86:AJ86)</f>
        <v>9550861732.8055267</v>
      </c>
      <c r="AK87" s="288">
        <f>SUM($B$86:AK86)</f>
        <v>10109684071.026543</v>
      </c>
      <c r="AL87" s="288">
        <f>SUM($B$86:AL86)</f>
        <v>10690797142.671867</v>
      </c>
      <c r="AM87" s="288">
        <f>SUM($B$86:AM86)</f>
        <v>11295092577.07847</v>
      </c>
    </row>
    <row r="88" spans="1:39" x14ac:dyDescent="0.2">
      <c r="A88" s="202" t="s">
        <v>534</v>
      </c>
      <c r="B88" s="289">
        <f t="shared" ref="B88:AM88" si="54">1/POWER((1+$B$44),B76)</f>
        <v>1</v>
      </c>
      <c r="C88" s="289">
        <f t="shared" si="54"/>
        <v>1</v>
      </c>
      <c r="D88" s="289">
        <f t="shared" si="54"/>
        <v>1</v>
      </c>
      <c r="E88" s="289">
        <f t="shared" si="54"/>
        <v>1</v>
      </c>
      <c r="F88" s="289">
        <f t="shared" si="54"/>
        <v>1</v>
      </c>
      <c r="G88" s="289">
        <f t="shared" si="54"/>
        <v>0.94072086838359736</v>
      </c>
      <c r="H88" s="289">
        <f t="shared" si="54"/>
        <v>0.83249634370229864</v>
      </c>
      <c r="I88" s="289">
        <f t="shared" si="54"/>
        <v>0.73672242805513155</v>
      </c>
      <c r="J88" s="289">
        <f t="shared" si="54"/>
        <v>0.65196675049126696</v>
      </c>
      <c r="K88" s="289">
        <f t="shared" si="54"/>
        <v>0.57696172609846641</v>
      </c>
      <c r="L88" s="289">
        <f t="shared" si="54"/>
        <v>0.51058559831722694</v>
      </c>
      <c r="M88" s="289">
        <f t="shared" si="54"/>
        <v>0.45184566222763445</v>
      </c>
      <c r="N88" s="289">
        <f t="shared" si="54"/>
        <v>0.39986341790056151</v>
      </c>
      <c r="O88" s="289">
        <f t="shared" si="54"/>
        <v>0.35386143177040841</v>
      </c>
      <c r="P88" s="289">
        <f t="shared" si="54"/>
        <v>0.31315170953133498</v>
      </c>
      <c r="Q88" s="289">
        <f t="shared" si="54"/>
        <v>0.27712540666489821</v>
      </c>
      <c r="R88" s="289">
        <f t="shared" si="54"/>
        <v>0.24524372271229933</v>
      </c>
      <c r="S88" s="289">
        <f t="shared" si="54"/>
        <v>0.21702984310822954</v>
      </c>
      <c r="T88" s="289">
        <f t="shared" si="54"/>
        <v>0.19206180806038009</v>
      </c>
      <c r="U88" s="289">
        <f t="shared" si="54"/>
        <v>0.16996620182334526</v>
      </c>
      <c r="V88" s="289">
        <f t="shared" si="54"/>
        <v>0.15041256798526129</v>
      </c>
      <c r="W88" s="289">
        <f t="shared" si="54"/>
        <v>0.13310846724359404</v>
      </c>
      <c r="X88" s="289">
        <f t="shared" si="54"/>
        <v>0.11779510375539298</v>
      </c>
      <c r="Y88" s="289">
        <f t="shared" si="54"/>
        <v>0.10424345465079028</v>
      </c>
      <c r="Z88" s="289">
        <f t="shared" si="54"/>
        <v>9.2250844823708225E-2</v>
      </c>
      <c r="AA88" s="289">
        <f t="shared" si="54"/>
        <v>8.163791577319314E-2</v>
      </c>
      <c r="AB88" s="289">
        <f t="shared" si="54"/>
        <v>7.2245943162117798E-2</v>
      </c>
      <c r="AC88" s="289">
        <f t="shared" si="54"/>
        <v>6.3934462975325498E-2</v>
      </c>
      <c r="AD88" s="289">
        <f t="shared" si="54"/>
        <v>5.6579170774624342E-2</v>
      </c>
      <c r="AE88" s="289">
        <f t="shared" si="54"/>
        <v>5.0070062632410935E-2</v>
      </c>
      <c r="AF88" s="289">
        <f t="shared" si="54"/>
        <v>4.4309789940186653E-2</v>
      </c>
      <c r="AG88" s="289">
        <f t="shared" si="54"/>
        <v>3.9212203486890855E-2</v>
      </c>
      <c r="AH88" s="289">
        <f t="shared" si="54"/>
        <v>3.4701065032646777E-2</v>
      </c>
      <c r="AI88" s="289">
        <f t="shared" si="54"/>
        <v>3.0708907108536979E-2</v>
      </c>
      <c r="AJ88" s="289">
        <f t="shared" si="54"/>
        <v>2.7176023989855736E-2</v>
      </c>
      <c r="AK88" s="289">
        <f t="shared" si="54"/>
        <v>2.4049578752084716E-2</v>
      </c>
      <c r="AL88" s="289">
        <f t="shared" si="54"/>
        <v>2.1282813054942232E-2</v>
      </c>
      <c r="AM88" s="289">
        <f t="shared" si="54"/>
        <v>1.8834347836232068E-2</v>
      </c>
    </row>
    <row r="89" spans="1:39" ht="28.5" x14ac:dyDescent="0.2">
      <c r="A89" s="201" t="s">
        <v>297</v>
      </c>
      <c r="B89" s="288">
        <f>B86*B88</f>
        <v>-39201366.385564245</v>
      </c>
      <c r="C89" s="288">
        <f>C86*C88</f>
        <v>304180.04394504894</v>
      </c>
      <c r="D89" s="288">
        <f t="shared" ref="D89:AM89" si="55">D86*D88</f>
        <v>-3551954.8642133623</v>
      </c>
      <c r="E89" s="288">
        <f t="shared" si="55"/>
        <v>36178035.313913167</v>
      </c>
      <c r="F89" s="288">
        <f t="shared" si="55"/>
        <v>66876296.077606872</v>
      </c>
      <c r="G89" s="288">
        <f t="shared" si="55"/>
        <v>99483971.851306543</v>
      </c>
      <c r="H89" s="288">
        <f t="shared" si="55"/>
        <v>40334135.997994244</v>
      </c>
      <c r="I89" s="288">
        <f t="shared" si="55"/>
        <v>147845366.50902301</v>
      </c>
      <c r="J89" s="288">
        <f t="shared" si="55"/>
        <v>125336477.05341151</v>
      </c>
      <c r="K89" s="288">
        <f t="shared" si="55"/>
        <v>115758144.327666</v>
      </c>
      <c r="L89" s="288">
        <f t="shared" si="55"/>
        <v>106913320.59889972</v>
      </c>
      <c r="M89" s="288">
        <f t="shared" si="55"/>
        <v>98651747.76674819</v>
      </c>
      <c r="N89" s="288">
        <f t="shared" si="55"/>
        <v>90943035.451924562</v>
      </c>
      <c r="O89" s="288">
        <f t="shared" si="55"/>
        <v>83757719.437877268</v>
      </c>
      <c r="P89" s="288">
        <f t="shared" si="55"/>
        <v>77067285.090091363</v>
      </c>
      <c r="Q89" s="288">
        <f t="shared" si="55"/>
        <v>70911956.593536049</v>
      </c>
      <c r="R89" s="288">
        <f t="shared" si="55"/>
        <v>65248857.268168494</v>
      </c>
      <c r="S89" s="288">
        <f t="shared" si="55"/>
        <v>60038555.029606454</v>
      </c>
      <c r="T89" s="288">
        <f t="shared" si="55"/>
        <v>55244784.631023221</v>
      </c>
      <c r="U89" s="288">
        <f t="shared" si="55"/>
        <v>50834192.419644497</v>
      </c>
      <c r="V89" s="288">
        <f t="shared" si="55"/>
        <v>46776101.769520178</v>
      </c>
      <c r="W89" s="288">
        <f t="shared" si="55"/>
        <v>43042297.503851227</v>
      </c>
      <c r="X89" s="288">
        <f t="shared" si="55"/>
        <v>39606827.75908599</v>
      </c>
      <c r="Y89" s="288">
        <f t="shared" si="55"/>
        <v>36445821.870342016</v>
      </c>
      <c r="Z89" s="288">
        <f t="shared" si="55"/>
        <v>33537322.974440452</v>
      </c>
      <c r="AA89" s="288">
        <f t="shared" si="55"/>
        <v>30861134.133858893</v>
      </c>
      <c r="AB89" s="288">
        <f t="shared" si="55"/>
        <v>28398676.883039717</v>
      </c>
      <c r="AC89" s="288">
        <f t="shared" si="55"/>
        <v>26132861.188479874</v>
      </c>
      <c r="AD89" s="288">
        <f t="shared" si="55"/>
        <v>24047965.896563929</v>
      </c>
      <c r="AE89" s="288">
        <f t="shared" si="55"/>
        <v>22129528.818811268</v>
      </c>
      <c r="AF89" s="288">
        <f t="shared" si="55"/>
        <v>20364245.673660617</v>
      </c>
      <c r="AG89" s="288">
        <f t="shared" si="55"/>
        <v>18739877.16763939</v>
      </c>
      <c r="AH89" s="288">
        <f t="shared" si="55"/>
        <v>17245163.557236496</v>
      </c>
      <c r="AI89" s="288">
        <f t="shared" si="55"/>
        <v>15869746.086456737</v>
      </c>
      <c r="AJ89" s="288">
        <f t="shared" si="55"/>
        <v>14604094.744282331</v>
      </c>
      <c r="AK89" s="288">
        <f t="shared" si="55"/>
        <v>13439441.831470452</v>
      </c>
      <c r="AL89" s="288">
        <f t="shared" si="55"/>
        <v>12367720.867610678</v>
      </c>
      <c r="AM89" s="288">
        <f t="shared" si="55"/>
        <v>11381510.407460924</v>
      </c>
    </row>
    <row r="90" spans="1:39" ht="14.25" x14ac:dyDescent="0.2">
      <c r="A90" s="201" t="s">
        <v>296</v>
      </c>
      <c r="B90" s="288">
        <f>SUM($B$89:B89)</f>
        <v>-39201366.385564245</v>
      </c>
      <c r="C90" s="288">
        <f>SUM($B$89:C89)</f>
        <v>-38897186.341619194</v>
      </c>
      <c r="D90" s="288">
        <f>SUM($B$89:D89)</f>
        <v>-42449141.205832556</v>
      </c>
      <c r="E90" s="288">
        <f>SUM($B$89:E89)</f>
        <v>-6271105.8919193894</v>
      </c>
      <c r="F90" s="288">
        <f>SUM($B$89:F89)</f>
        <v>60605190.185687482</v>
      </c>
      <c r="G90" s="288">
        <f>SUM($B$89:G89)</f>
        <v>160089162.03699404</v>
      </c>
      <c r="H90" s="288">
        <f>SUM($B$89:H89)</f>
        <v>200423298.03498828</v>
      </c>
      <c r="I90" s="288">
        <f>SUM($B$89:I89)</f>
        <v>348268664.54401129</v>
      </c>
      <c r="J90" s="288">
        <f>SUM($B$89:J89)</f>
        <v>473605141.59742284</v>
      </c>
      <c r="K90" s="288">
        <f>SUM($B$89:K89)</f>
        <v>589363285.92508888</v>
      </c>
      <c r="L90" s="288">
        <f>SUM($B$89:L89)</f>
        <v>696276606.5239886</v>
      </c>
      <c r="M90" s="288">
        <f>SUM($B$89:M89)</f>
        <v>794928354.29073679</v>
      </c>
      <c r="N90" s="288">
        <f>SUM($B$89:N89)</f>
        <v>885871389.74266136</v>
      </c>
      <c r="O90" s="288">
        <f>SUM($B$89:O89)</f>
        <v>969629109.18053865</v>
      </c>
      <c r="P90" s="288">
        <f>SUM($B$89:P89)</f>
        <v>1046696394.27063</v>
      </c>
      <c r="Q90" s="288">
        <f>SUM($B$89:Q89)</f>
        <v>1117608350.864166</v>
      </c>
      <c r="R90" s="288">
        <f>SUM($B$89:R89)</f>
        <v>1182857208.1323345</v>
      </c>
      <c r="S90" s="288">
        <f>SUM($B$89:S89)</f>
        <v>1242895763.1619408</v>
      </c>
      <c r="T90" s="288">
        <f>SUM($B$89:T89)</f>
        <v>1298140547.792964</v>
      </c>
      <c r="U90" s="288">
        <f>SUM($B$89:U89)</f>
        <v>1348974740.2126086</v>
      </c>
      <c r="V90" s="288">
        <f>SUM($B$89:V89)</f>
        <v>1395750841.9821289</v>
      </c>
      <c r="W90" s="288">
        <f>SUM($B$89:W89)</f>
        <v>1438793139.48598</v>
      </c>
      <c r="X90" s="288">
        <f>SUM($B$89:X89)</f>
        <v>1478399967.2450659</v>
      </c>
      <c r="Y90" s="288">
        <f>SUM($B$89:Y89)</f>
        <v>1514845789.1154079</v>
      </c>
      <c r="Z90" s="288">
        <f>SUM($B$89:Z89)</f>
        <v>1548383112.0898483</v>
      </c>
      <c r="AA90" s="288">
        <f>SUM($B$89:AA89)</f>
        <v>1579244246.2237072</v>
      </c>
      <c r="AB90" s="288">
        <f>SUM($B$89:AB89)</f>
        <v>1607642923.1067469</v>
      </c>
      <c r="AC90" s="288">
        <f>SUM($B$89:AC89)</f>
        <v>1633775784.2952268</v>
      </c>
      <c r="AD90" s="288">
        <f>SUM($B$89:AD89)</f>
        <v>1657823750.1917908</v>
      </c>
      <c r="AE90" s="288">
        <f>SUM($B$89:AE89)</f>
        <v>1679953279.010602</v>
      </c>
      <c r="AF90" s="288">
        <f>SUM($B$89:AF89)</f>
        <v>1700317524.6842625</v>
      </c>
      <c r="AG90" s="288">
        <f>SUM($B$89:AG89)</f>
        <v>1719057401.851902</v>
      </c>
      <c r="AH90" s="288">
        <f>SUM($B$89:AH89)</f>
        <v>1736302565.4091384</v>
      </c>
      <c r="AI90" s="288">
        <f>SUM($B$89:AI89)</f>
        <v>1752172311.4955952</v>
      </c>
      <c r="AJ90" s="288">
        <f>SUM($B$89:AJ89)</f>
        <v>1766776406.2398775</v>
      </c>
      <c r="AK90" s="288">
        <f>SUM($B$89:AK89)</f>
        <v>1780215848.071348</v>
      </c>
      <c r="AL90" s="288">
        <f>SUM($B$89:AL89)</f>
        <v>1792583568.9389586</v>
      </c>
      <c r="AM90" s="288">
        <f>SUM($B$89:AM89)</f>
        <v>1803965079.3464196</v>
      </c>
    </row>
    <row r="91" spans="1:39" ht="14.25" x14ac:dyDescent="0.2">
      <c r="A91" s="201" t="s">
        <v>295</v>
      </c>
      <c r="B91" s="290">
        <f>IF((ISERR(IRR($B$86:B86))),0,IF(IRR($B$86:B86)&lt;0,0,IRR($B$86:B86)))</f>
        <v>0</v>
      </c>
      <c r="C91" s="290">
        <f>IF((ISERR(IRR($B$86:C86))),0,IF(IRR($B$86:C86)&lt;0,0,IRR($B$86:C86)))</f>
        <v>0</v>
      </c>
      <c r="D91" s="290">
        <f>IF((ISERR(IRR($B$86:D86))),0,IF(IRR($B$86:D86)&lt;0,0,IRR($B$86:D86)))</f>
        <v>0</v>
      </c>
      <c r="E91" s="290">
        <f>IF((ISERR(IRR($B$86:E86))),0,IF(IRR($B$86:E86)&lt;0,0,IRR($B$86:E86)))</f>
        <v>0</v>
      </c>
      <c r="F91" s="290">
        <f>IF((ISERR(IRR($B$86:F86))),0,IF(IRR($B$86:F86)&lt;0,0,IRR($B$86:F86)))</f>
        <v>0.28912450867452621</v>
      </c>
      <c r="G91" s="290">
        <f>IF((ISERR(IRR($B$86:G86))),0,IF(IRR($B$86:G86)&lt;0,0,IRR($B$86:G86)))</f>
        <v>0.47429481163798481</v>
      </c>
      <c r="H91" s="290">
        <f>IF((ISERR(IRR($B$86:H86))),0,IF(IRR($B$86:H86)&lt;0,0,IRR($B$86:H86)))</f>
        <v>0.51328878815617518</v>
      </c>
      <c r="I91" s="290">
        <f>IF((ISERR(IRR($B$86:I86))),0,IF(IRR($B$86:I86)&lt;0,0,IRR($B$86:I86)))</f>
        <v>0.5922181942249225</v>
      </c>
      <c r="J91" s="290">
        <f>IF((ISERR(IRR($B$86:J86))),0,IF(IRR($B$86:J86)&lt;0,0,IRR($B$86:J86)))</f>
        <v>0.62732577556129909</v>
      </c>
      <c r="K91" s="290">
        <f>IF((ISERR(IRR($B$86:K86))),0,IF(IRR($B$86:K86)&lt;0,0,IRR($B$86:K86)))</f>
        <v>0.64635695434681151</v>
      </c>
      <c r="L91" s="290">
        <f>IF((ISERR(IRR($B$86:L86))),0,IF(IRR($B$86:L86)&lt;0,0,IRR($B$86:L86)))</f>
        <v>0.65719431866839617</v>
      </c>
      <c r="M91" s="290">
        <f>IF((ISERR(IRR($B$86:M86))),0,IF(IRR($B$86:M86)&lt;0,0,IRR($B$86:M86)))</f>
        <v>0.66354860435935947</v>
      </c>
      <c r="N91" s="290">
        <f>IF((ISERR(IRR($B$86:N86))),0,IF(IRR($B$86:N86)&lt;0,0,IRR($B$86:N86)))</f>
        <v>0.66734470889734543</v>
      </c>
      <c r="O91" s="290">
        <f>IF((ISERR(IRR($B$86:O86))),0,IF(IRR($B$86:O86)&lt;0,0,IRR($B$86:O86)))</f>
        <v>0.66964049144359161</v>
      </c>
      <c r="P91" s="290">
        <f>IF((ISERR(IRR($B$86:P86))),0,IF(IRR($B$86:P86)&lt;0,0,IRR($B$86:P86)))</f>
        <v>0.67104011635280458</v>
      </c>
      <c r="Q91" s="290">
        <f>IF((ISERR(IRR($B$86:Q86))),0,IF(IRR($B$86:Q86)&lt;0,0,IRR($B$86:Q86)))</f>
        <v>0.67189865450532049</v>
      </c>
      <c r="R91" s="290">
        <f>IF((ISERR(IRR($B$86:R86))),0,IF(IRR($B$86:R86)&lt;0,0,IRR($B$86:R86)))</f>
        <v>0.67242749995803441</v>
      </c>
      <c r="S91" s="290">
        <f>IF((ISERR(IRR($B$86:S86))),0,IF(IRR($B$86:S86)&lt;0,0,IRR($B$86:S86)))</f>
        <v>0.67275419299398354</v>
      </c>
      <c r="T91" s="290">
        <f>IF((ISERR(IRR($B$86:T86))),0,IF(IRR($B$86:T86)&lt;0,0,IRR($B$86:T86)))</f>
        <v>0.67295639965361032</v>
      </c>
      <c r="U91" s="290">
        <f>IF((ISERR(IRR($B$86:U86))),0,IF(IRR($B$86:U86)&lt;0,0,IRR($B$86:U86)))</f>
        <v>0.67308172048328441</v>
      </c>
      <c r="V91" s="290">
        <f>IF((ISERR(IRR($B$86:V86))),0,IF(IRR($B$86:V86)&lt;0,0,IRR($B$86:V86)))</f>
        <v>0.67315945921429221</v>
      </c>
      <c r="W91" s="290">
        <f>IF((ISERR(IRR($B$86:W86))),0,IF(IRR($B$86:W86)&lt;0,0,IRR($B$86:W86)))</f>
        <v>0.67320771081085451</v>
      </c>
      <c r="X91" s="290">
        <f>IF((ISERR(IRR($B$86:X86))),0,IF(IRR($B$86:X86)&lt;0,0,IRR($B$86:X86)))</f>
        <v>0.67323767210161622</v>
      </c>
      <c r="Y91" s="290">
        <f>IF((ISERR(IRR($B$86:Y86))),0,IF(IRR($B$86:Y86)&lt;0,0,IRR($B$86:Y86)))</f>
        <v>0.67325628124516768</v>
      </c>
      <c r="Z91" s="290">
        <f>IF((ISERR(IRR($B$86:Z86))),0,IF(IRR($B$86:Z86)&lt;0,0,IRR($B$86:Z86)))</f>
        <v>0.67326784158759723</v>
      </c>
      <c r="AA91" s="290">
        <f>IF((ISERR(IRR($B$86:AA86))),0,IF(IRR($B$86:AA86)&lt;0,0,IRR($B$86:AA86)))</f>
        <v>0.67327502395613492</v>
      </c>
      <c r="AB91" s="290">
        <f>IF((ISERR(IRR($B$86:AB86))),0,IF(IRR($B$86:AB86)&lt;0,0,IRR($B$86:AB86)))</f>
        <v>0.67327948668186344</v>
      </c>
      <c r="AC91" s="290">
        <f>IF((ISERR(IRR($B$86:AC86))),0,IF(IRR($B$86:AC86)&lt;0,0,IRR($B$86:AC86)))</f>
        <v>0.67328225972643607</v>
      </c>
      <c r="AD91" s="290">
        <f>IF((ISERR(IRR($B$86:AD86))),0,IF(IRR($B$86:AD86)&lt;0,0,IRR($B$86:AD86)))</f>
        <v>0.67328398290431135</v>
      </c>
      <c r="AE91" s="290">
        <f>IF((ISERR(IRR($B$86:AE86))),0,IF(IRR($B$86:AE86)&lt;0,0,IRR($B$86:AE86)))</f>
        <v>0.67328505372065339</v>
      </c>
      <c r="AF91" s="290">
        <f>IF((ISERR(IRR($B$86:AF86))),0,IF(IRR($B$86:AF86)&lt;0,0,IRR($B$86:AF86)))</f>
        <v>0.67328571915956936</v>
      </c>
      <c r="AG91" s="290">
        <f>IF((ISERR(IRR($B$86:AG86))),0,IF(IRR($B$86:AG86)&lt;0,0,IRR($B$86:AG86)))</f>
        <v>0.67328613269006321</v>
      </c>
      <c r="AH91" s="290">
        <f>IF((ISERR(IRR($B$86:AH86))),0,IF(IRR($B$86:AH86)&lt;0,0,IRR($B$86:AH86)))</f>
        <v>0.67328638967731047</v>
      </c>
      <c r="AI91" s="290">
        <f>IF((ISERR(IRR($B$86:AI86))),0,IF(IRR($B$86:AI86)&lt;0,0,IRR($B$86:AI86)))</f>
        <v>0.67328654938260768</v>
      </c>
      <c r="AJ91" s="290">
        <f>IF((ISERR(IRR($B$86:AJ86))),0,IF(IRR($B$86:AJ86)&lt;0,0,IRR($B$86:AJ86)))</f>
        <v>0.67328664863251952</v>
      </c>
      <c r="AK91" s="290">
        <f>IF((ISERR(IRR($B$86:AK86))),0,IF(IRR($B$86:AK86)&lt;0,0,IRR($B$86:AK86)))</f>
        <v>0.67328671031240361</v>
      </c>
      <c r="AL91" s="290">
        <f>IF((ISERR(IRR($B$86:AL86))),0,IF(IRR($B$86:AL86)&lt;0,0,IRR($B$86:AL86)))</f>
        <v>0.67328674864420734</v>
      </c>
      <c r="AM91" s="290">
        <f>IF((ISERR(IRR($B$86:AM86))),0,IF(IRR($B$86:AM86)&lt;0,0,IRR($B$86:AM86)))</f>
        <v>0.67328677246614221</v>
      </c>
    </row>
    <row r="92" spans="1:39" ht="14.25" x14ac:dyDescent="0.2">
      <c r="A92" s="201" t="s">
        <v>294</v>
      </c>
      <c r="B92" s="291">
        <f>IF(AND(B87&gt;0,A87&lt;0),(B77-(B87/(B87-A87))),0)</f>
        <v>0</v>
      </c>
      <c r="C92" s="291">
        <f t="shared" ref="C92:AM92" si="56">IF(AND(C87&gt;0,B87&lt;0),(C77-(C87/(C87-B87))),0)</f>
        <v>0</v>
      </c>
      <c r="D92" s="291">
        <f t="shared" si="56"/>
        <v>0</v>
      </c>
      <c r="E92" s="291">
        <f t="shared" si="56"/>
        <v>0</v>
      </c>
      <c r="F92" s="291">
        <f t="shared" si="56"/>
        <v>4.093771728695053</v>
      </c>
      <c r="G92" s="291">
        <f t="shared" si="56"/>
        <v>0</v>
      </c>
      <c r="H92" s="291">
        <f>IF(AND(H87&gt;0,G87&lt;0),(H77-(H87/(H87-G87))),0)</f>
        <v>0</v>
      </c>
      <c r="I92" s="291">
        <f t="shared" si="56"/>
        <v>0</v>
      </c>
      <c r="J92" s="291">
        <f t="shared" si="56"/>
        <v>0</v>
      </c>
      <c r="K92" s="291">
        <f t="shared" si="56"/>
        <v>0</v>
      </c>
      <c r="L92" s="291">
        <f t="shared" si="56"/>
        <v>0</v>
      </c>
      <c r="M92" s="291">
        <f t="shared" si="56"/>
        <v>0</v>
      </c>
      <c r="N92" s="291">
        <f t="shared" si="56"/>
        <v>0</v>
      </c>
      <c r="O92" s="291">
        <f t="shared" si="56"/>
        <v>0</v>
      </c>
      <c r="P92" s="291">
        <f t="shared" si="56"/>
        <v>0</v>
      </c>
      <c r="Q92" s="291">
        <f t="shared" si="56"/>
        <v>0</v>
      </c>
      <c r="R92" s="291">
        <f t="shared" si="56"/>
        <v>0</v>
      </c>
      <c r="S92" s="291">
        <f t="shared" si="56"/>
        <v>0</v>
      </c>
      <c r="T92" s="291">
        <f t="shared" si="56"/>
        <v>0</v>
      </c>
      <c r="U92" s="291">
        <f t="shared" si="56"/>
        <v>0</v>
      </c>
      <c r="V92" s="291">
        <f t="shared" si="56"/>
        <v>0</v>
      </c>
      <c r="W92" s="291">
        <f t="shared" si="56"/>
        <v>0</v>
      </c>
      <c r="X92" s="291">
        <f t="shared" si="56"/>
        <v>0</v>
      </c>
      <c r="Y92" s="291">
        <f t="shared" si="56"/>
        <v>0</v>
      </c>
      <c r="Z92" s="291">
        <f t="shared" si="56"/>
        <v>0</v>
      </c>
      <c r="AA92" s="291">
        <f t="shared" si="56"/>
        <v>0</v>
      </c>
      <c r="AB92" s="291">
        <f t="shared" si="56"/>
        <v>0</v>
      </c>
      <c r="AC92" s="291">
        <f t="shared" si="56"/>
        <v>0</v>
      </c>
      <c r="AD92" s="291">
        <f t="shared" si="56"/>
        <v>0</v>
      </c>
      <c r="AE92" s="291">
        <f t="shared" si="56"/>
        <v>0</v>
      </c>
      <c r="AF92" s="291">
        <f t="shared" si="56"/>
        <v>0</v>
      </c>
      <c r="AG92" s="291">
        <f t="shared" si="56"/>
        <v>0</v>
      </c>
      <c r="AH92" s="291">
        <f t="shared" si="56"/>
        <v>0</v>
      </c>
      <c r="AI92" s="291">
        <f t="shared" si="56"/>
        <v>0</v>
      </c>
      <c r="AJ92" s="291">
        <f t="shared" si="56"/>
        <v>0</v>
      </c>
      <c r="AK92" s="291">
        <f t="shared" si="56"/>
        <v>0</v>
      </c>
      <c r="AL92" s="291">
        <f t="shared" si="56"/>
        <v>0</v>
      </c>
      <c r="AM92" s="291">
        <f t="shared" si="56"/>
        <v>0</v>
      </c>
    </row>
    <row r="93" spans="1:39" ht="15" thickBot="1" x14ac:dyDescent="0.25">
      <c r="A93" s="209" t="s">
        <v>293</v>
      </c>
      <c r="B93" s="210">
        <f t="shared" ref="B93:AM93" si="57">IF(AND(B90&gt;0,A90&lt;0),(B77-(B90/(B90-A90))),0)</f>
        <v>0</v>
      </c>
      <c r="C93" s="210">
        <f t="shared" si="57"/>
        <v>0</v>
      </c>
      <c r="D93" s="210">
        <f t="shared" si="57"/>
        <v>0</v>
      </c>
      <c r="E93" s="210">
        <f t="shared" si="57"/>
        <v>0</v>
      </c>
      <c r="F93" s="210">
        <f t="shared" si="57"/>
        <v>4.093771728695053</v>
      </c>
      <c r="G93" s="210">
        <f t="shared" si="57"/>
        <v>0</v>
      </c>
      <c r="H93" s="210">
        <f t="shared" si="57"/>
        <v>0</v>
      </c>
      <c r="I93" s="210">
        <f t="shared" si="57"/>
        <v>0</v>
      </c>
      <c r="J93" s="210">
        <f t="shared" si="57"/>
        <v>0</v>
      </c>
      <c r="K93" s="210">
        <f t="shared" si="57"/>
        <v>0</v>
      </c>
      <c r="L93" s="210">
        <f t="shared" si="57"/>
        <v>0</v>
      </c>
      <c r="M93" s="210">
        <f t="shared" si="57"/>
        <v>0</v>
      </c>
      <c r="N93" s="210">
        <f t="shared" si="57"/>
        <v>0</v>
      </c>
      <c r="O93" s="210">
        <f t="shared" si="57"/>
        <v>0</v>
      </c>
      <c r="P93" s="210">
        <f t="shared" si="57"/>
        <v>0</v>
      </c>
      <c r="Q93" s="210">
        <f t="shared" si="57"/>
        <v>0</v>
      </c>
      <c r="R93" s="210">
        <f t="shared" si="57"/>
        <v>0</v>
      </c>
      <c r="S93" s="210">
        <f t="shared" si="57"/>
        <v>0</v>
      </c>
      <c r="T93" s="210">
        <f t="shared" si="57"/>
        <v>0</v>
      </c>
      <c r="U93" s="210">
        <f t="shared" si="57"/>
        <v>0</v>
      </c>
      <c r="V93" s="210">
        <f t="shared" si="57"/>
        <v>0</v>
      </c>
      <c r="W93" s="210">
        <f t="shared" si="57"/>
        <v>0</v>
      </c>
      <c r="X93" s="210">
        <f t="shared" si="57"/>
        <v>0</v>
      </c>
      <c r="Y93" s="210">
        <f t="shared" si="57"/>
        <v>0</v>
      </c>
      <c r="Z93" s="210">
        <f t="shared" si="57"/>
        <v>0</v>
      </c>
      <c r="AA93" s="210">
        <f t="shared" si="57"/>
        <v>0</v>
      </c>
      <c r="AB93" s="210">
        <f t="shared" si="57"/>
        <v>0</v>
      </c>
      <c r="AC93" s="210">
        <f t="shared" si="57"/>
        <v>0</v>
      </c>
      <c r="AD93" s="210">
        <f t="shared" si="57"/>
        <v>0</v>
      </c>
      <c r="AE93" s="210">
        <f t="shared" si="57"/>
        <v>0</v>
      </c>
      <c r="AF93" s="210">
        <f t="shared" si="57"/>
        <v>0</v>
      </c>
      <c r="AG93" s="210">
        <f t="shared" si="57"/>
        <v>0</v>
      </c>
      <c r="AH93" s="210">
        <f t="shared" si="57"/>
        <v>0</v>
      </c>
      <c r="AI93" s="210">
        <f t="shared" si="57"/>
        <v>0</v>
      </c>
      <c r="AJ93" s="210">
        <f t="shared" si="57"/>
        <v>0</v>
      </c>
      <c r="AK93" s="210">
        <f t="shared" si="57"/>
        <v>0</v>
      </c>
      <c r="AL93" s="210">
        <f t="shared" si="57"/>
        <v>0</v>
      </c>
      <c r="AM93" s="210">
        <f t="shared" si="57"/>
        <v>0</v>
      </c>
    </row>
    <row r="94" spans="1:39" s="189" customFormat="1" x14ac:dyDescent="0.2">
      <c r="A94" s="164"/>
      <c r="B94" s="211">
        <v>2014</v>
      </c>
      <c r="C94" s="211">
        <f>B94+1</f>
        <v>2015</v>
      </c>
      <c r="D94" s="159">
        <f t="shared" ref="D94:AM94" si="58">C94+1</f>
        <v>2016</v>
      </c>
      <c r="E94" s="159">
        <f t="shared" si="58"/>
        <v>2017</v>
      </c>
      <c r="F94" s="159">
        <f t="shared" si="58"/>
        <v>2018</v>
      </c>
      <c r="G94" s="159">
        <f t="shared" si="58"/>
        <v>2019</v>
      </c>
      <c r="H94" s="159">
        <f t="shared" si="58"/>
        <v>2020</v>
      </c>
      <c r="I94" s="159">
        <f t="shared" si="58"/>
        <v>2021</v>
      </c>
      <c r="J94" s="159">
        <f t="shared" si="58"/>
        <v>2022</v>
      </c>
      <c r="K94" s="159">
        <f t="shared" si="58"/>
        <v>2023</v>
      </c>
      <c r="L94" s="159">
        <f t="shared" si="58"/>
        <v>2024</v>
      </c>
      <c r="M94" s="159">
        <f t="shared" si="58"/>
        <v>2025</v>
      </c>
      <c r="N94" s="159">
        <f t="shared" si="58"/>
        <v>2026</v>
      </c>
      <c r="O94" s="159">
        <f t="shared" si="58"/>
        <v>2027</v>
      </c>
      <c r="P94" s="159">
        <f t="shared" si="58"/>
        <v>2028</v>
      </c>
      <c r="Q94" s="159">
        <f t="shared" si="58"/>
        <v>2029</v>
      </c>
      <c r="R94" s="159">
        <f t="shared" si="58"/>
        <v>2030</v>
      </c>
      <c r="S94" s="159">
        <f t="shared" si="58"/>
        <v>2031</v>
      </c>
      <c r="T94" s="159">
        <f t="shared" si="58"/>
        <v>2032</v>
      </c>
      <c r="U94" s="159">
        <f t="shared" si="58"/>
        <v>2033</v>
      </c>
      <c r="V94" s="159">
        <f t="shared" si="58"/>
        <v>2034</v>
      </c>
      <c r="W94" s="159">
        <f t="shared" si="58"/>
        <v>2035</v>
      </c>
      <c r="X94" s="159">
        <f t="shared" si="58"/>
        <v>2036</v>
      </c>
      <c r="Y94" s="159">
        <f t="shared" si="58"/>
        <v>2037</v>
      </c>
      <c r="Z94" s="159">
        <f t="shared" si="58"/>
        <v>2038</v>
      </c>
      <c r="AA94" s="159">
        <f t="shared" si="58"/>
        <v>2039</v>
      </c>
      <c r="AB94" s="159">
        <f t="shared" si="58"/>
        <v>2040</v>
      </c>
      <c r="AC94" s="159">
        <f t="shared" si="58"/>
        <v>2041</v>
      </c>
      <c r="AD94" s="159">
        <f t="shared" si="58"/>
        <v>2042</v>
      </c>
      <c r="AE94" s="159">
        <f t="shared" si="58"/>
        <v>2043</v>
      </c>
      <c r="AF94" s="159">
        <f t="shared" si="58"/>
        <v>2044</v>
      </c>
      <c r="AG94" s="159">
        <f t="shared" si="58"/>
        <v>2045</v>
      </c>
      <c r="AH94" s="159">
        <f t="shared" si="58"/>
        <v>2046</v>
      </c>
      <c r="AI94" s="159">
        <f t="shared" si="58"/>
        <v>2047</v>
      </c>
      <c r="AJ94" s="159">
        <f t="shared" si="58"/>
        <v>2048</v>
      </c>
      <c r="AK94" s="159">
        <f t="shared" si="58"/>
        <v>2049</v>
      </c>
      <c r="AL94" s="159">
        <f t="shared" si="58"/>
        <v>2050</v>
      </c>
      <c r="AM94" s="159">
        <f t="shared" si="58"/>
        <v>2051</v>
      </c>
    </row>
    <row r="95" spans="1:39" ht="15.6" customHeight="1" x14ac:dyDescent="0.2">
      <c r="A95" s="212" t="s">
        <v>292</v>
      </c>
      <c r="B95" s="107"/>
      <c r="C95" s="107"/>
      <c r="D95" s="107"/>
      <c r="E95" s="107"/>
      <c r="F95" s="107"/>
      <c r="G95" s="107"/>
      <c r="H95" s="107"/>
      <c r="I95" s="107"/>
      <c r="J95" s="107"/>
      <c r="K95" s="107"/>
      <c r="L95" s="213">
        <v>10</v>
      </c>
      <c r="M95" s="107"/>
      <c r="N95" s="107"/>
      <c r="O95" s="107"/>
      <c r="P95" s="107"/>
      <c r="Q95" s="107"/>
      <c r="R95" s="107"/>
      <c r="S95" s="107">
        <v>10</v>
      </c>
      <c r="T95" s="107"/>
      <c r="U95" s="107"/>
      <c r="V95" s="107"/>
      <c r="W95" s="107"/>
      <c r="X95" s="107"/>
      <c r="Y95" s="107"/>
      <c r="Z95" s="107"/>
      <c r="AA95" s="107"/>
      <c r="AB95" s="107"/>
      <c r="AC95" s="107"/>
      <c r="AD95" s="107"/>
      <c r="AE95" s="107"/>
      <c r="AF95" s="107"/>
      <c r="AG95" s="107"/>
      <c r="AH95" s="107"/>
      <c r="AI95" s="107"/>
      <c r="AJ95" s="107"/>
      <c r="AK95" s="107"/>
      <c r="AL95" s="107"/>
      <c r="AM95" s="107"/>
    </row>
    <row r="96" spans="1:39" ht="12.75" x14ac:dyDescent="0.2">
      <c r="A96" s="108" t="s">
        <v>291</v>
      </c>
      <c r="B96" s="108"/>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row>
    <row r="97" spans="1:59" ht="12.75" x14ac:dyDescent="0.2">
      <c r="A97" s="108" t="s">
        <v>290</v>
      </c>
      <c r="B97" s="108"/>
      <c r="C97" s="108"/>
      <c r="D97" s="108"/>
      <c r="E97" s="108"/>
      <c r="F97" s="108"/>
      <c r="G97" s="108"/>
      <c r="H97" s="108"/>
      <c r="I97" s="108"/>
      <c r="J97" s="108"/>
      <c r="K97" s="108"/>
      <c r="L97" s="108"/>
      <c r="M97" s="108"/>
      <c r="N97" s="108"/>
      <c r="O97" s="108"/>
      <c r="P97" s="108"/>
      <c r="Q97" s="108"/>
      <c r="R97" s="108"/>
      <c r="S97" s="108"/>
      <c r="T97" s="108"/>
      <c r="U97" s="108"/>
      <c r="V97" s="108"/>
      <c r="W97" s="108"/>
      <c r="X97" s="108"/>
      <c r="Y97" s="108"/>
      <c r="Z97" s="108"/>
      <c r="AA97" s="108"/>
      <c r="AB97" s="108"/>
      <c r="AC97" s="108"/>
      <c r="AD97" s="108"/>
      <c r="AE97" s="108"/>
      <c r="AF97" s="108"/>
      <c r="AG97" s="108"/>
      <c r="AH97" s="108"/>
      <c r="AI97" s="108"/>
      <c r="AJ97" s="108"/>
      <c r="AK97" s="108"/>
      <c r="AL97" s="108"/>
      <c r="AM97" s="108"/>
    </row>
    <row r="98" spans="1:59" ht="12.75" x14ac:dyDescent="0.2">
      <c r="A98" s="108" t="s">
        <v>289</v>
      </c>
      <c r="B98" s="108"/>
      <c r="C98" s="108"/>
      <c r="D98" s="108"/>
      <c r="E98" s="108"/>
      <c r="F98" s="108"/>
      <c r="G98" s="108"/>
      <c r="H98" s="108"/>
      <c r="I98" s="108"/>
      <c r="J98" s="108"/>
      <c r="K98" s="108"/>
      <c r="L98" s="108"/>
      <c r="M98" s="108"/>
      <c r="N98" s="108"/>
      <c r="O98" s="108"/>
      <c r="P98" s="108"/>
      <c r="Q98" s="108"/>
      <c r="R98" s="108"/>
      <c r="S98" s="108"/>
      <c r="T98" s="108"/>
      <c r="U98" s="108"/>
      <c r="V98" s="108"/>
      <c r="W98" s="108"/>
      <c r="X98" s="108"/>
      <c r="Y98" s="108"/>
      <c r="Z98" s="108"/>
      <c r="AA98" s="108"/>
      <c r="AB98" s="108"/>
      <c r="AC98" s="108"/>
      <c r="AD98" s="108"/>
      <c r="AE98" s="108"/>
      <c r="AF98" s="108"/>
      <c r="AG98" s="108"/>
      <c r="AH98" s="108"/>
      <c r="AI98" s="108"/>
      <c r="AJ98" s="108"/>
      <c r="AK98" s="108"/>
      <c r="AL98" s="108"/>
      <c r="AM98" s="108"/>
    </row>
    <row r="99" spans="1:59" ht="12.75" x14ac:dyDescent="0.2">
      <c r="A99" s="109" t="s">
        <v>288</v>
      </c>
      <c r="B99" s="107"/>
      <c r="C99" s="107"/>
      <c r="D99" s="107"/>
      <c r="E99" s="107"/>
      <c r="F99" s="107"/>
      <c r="G99" s="107"/>
      <c r="H99" s="107"/>
      <c r="I99" s="107"/>
      <c r="J99" s="107"/>
      <c r="K99" s="107"/>
      <c r="L99" s="107"/>
      <c r="M99" s="107"/>
      <c r="N99" s="107"/>
      <c r="O99" s="107"/>
      <c r="P99" s="107"/>
      <c r="Q99" s="107"/>
      <c r="R99" s="107"/>
      <c r="S99" s="107"/>
      <c r="T99" s="107"/>
      <c r="U99" s="107"/>
      <c r="V99" s="107"/>
      <c r="W99" s="107"/>
      <c r="X99" s="107"/>
      <c r="Y99" s="107"/>
      <c r="Z99" s="107"/>
      <c r="AA99" s="107"/>
      <c r="AB99" s="107"/>
      <c r="AC99" s="107"/>
      <c r="AD99" s="107"/>
      <c r="AE99" s="107"/>
      <c r="AF99" s="107"/>
      <c r="AG99" s="107"/>
      <c r="AH99" s="107"/>
      <c r="AI99" s="107"/>
      <c r="AJ99" s="107"/>
      <c r="AK99" s="107"/>
      <c r="AL99" s="107"/>
      <c r="AM99" s="107"/>
    </row>
    <row r="100" spans="1:59" ht="33" customHeight="1" x14ac:dyDescent="0.2">
      <c r="A100" s="497" t="s">
        <v>535</v>
      </c>
      <c r="B100" s="497"/>
      <c r="C100" s="497"/>
      <c r="D100" s="497"/>
      <c r="E100" s="497"/>
      <c r="F100" s="497"/>
      <c r="G100" s="497"/>
      <c r="H100" s="497"/>
      <c r="I100" s="497"/>
      <c r="J100" s="497"/>
      <c r="K100" s="497"/>
      <c r="L100" s="497"/>
      <c r="M100" s="204"/>
      <c r="N100" s="204"/>
      <c r="O100" s="204"/>
      <c r="P100" s="204"/>
      <c r="Q100" s="204"/>
      <c r="R100" s="204"/>
      <c r="S100" s="204"/>
      <c r="T100" s="204"/>
      <c r="U100" s="204"/>
      <c r="V100" s="204"/>
      <c r="W100" s="204"/>
      <c r="X100" s="204"/>
      <c r="Y100" s="204"/>
      <c r="Z100" s="204"/>
      <c r="AA100" s="204"/>
      <c r="AB100" s="204"/>
      <c r="AC100" s="204"/>
      <c r="AD100" s="204"/>
      <c r="AE100" s="204"/>
      <c r="AF100" s="204"/>
      <c r="AG100" s="204"/>
      <c r="AH100" s="204"/>
      <c r="AI100" s="204"/>
      <c r="AJ100" s="204"/>
      <c r="AK100" s="204"/>
      <c r="AL100" s="204"/>
      <c r="AM100" s="204"/>
    </row>
    <row r="101" spans="1:59" x14ac:dyDescent="0.2">
      <c r="C101" s="214"/>
    </row>
    <row r="102" spans="1:59" hidden="1" x14ac:dyDescent="0.2">
      <c r="A102" s="292" t="s">
        <v>536</v>
      </c>
      <c r="C102" s="219" t="s">
        <v>549</v>
      </c>
      <c r="D102" s="219"/>
      <c r="E102" s="219"/>
      <c r="F102" s="219"/>
      <c r="G102" s="219"/>
      <c r="H102" s="219"/>
      <c r="I102" s="219"/>
      <c r="J102" s="219"/>
      <c r="K102" s="219"/>
      <c r="L102" s="219"/>
      <c r="M102" s="219"/>
      <c r="N102" s="219"/>
      <c r="O102" s="219"/>
      <c r="P102" s="219"/>
      <c r="Q102" s="219"/>
      <c r="R102" s="219"/>
      <c r="S102" s="219"/>
      <c r="T102" s="219"/>
      <c r="U102" s="219"/>
      <c r="V102" s="219"/>
      <c r="W102" s="219"/>
      <c r="X102" s="219"/>
      <c r="Y102" s="219"/>
      <c r="Z102" s="219"/>
      <c r="AA102" s="219"/>
      <c r="AB102" s="219"/>
      <c r="AC102" s="219"/>
      <c r="AD102" s="219"/>
      <c r="AE102" s="219"/>
      <c r="AF102" s="219"/>
      <c r="AG102" s="219"/>
      <c r="AH102" s="219"/>
      <c r="AI102" s="219"/>
      <c r="AJ102" s="219"/>
      <c r="AK102" s="219"/>
      <c r="AL102" s="219"/>
      <c r="AM102" s="219"/>
      <c r="AV102" s="219"/>
      <c r="AW102" s="219"/>
      <c r="AX102" s="219"/>
      <c r="AY102" s="219"/>
      <c r="AZ102" s="219"/>
      <c r="BA102" s="219"/>
      <c r="BB102" s="219"/>
      <c r="BC102" s="219"/>
      <c r="BD102" s="219"/>
      <c r="BE102" s="219"/>
      <c r="BF102" s="219"/>
      <c r="BG102" s="219"/>
    </row>
    <row r="103" spans="1:59" ht="12.75" hidden="1" x14ac:dyDescent="0.2">
      <c r="A103" s="292"/>
      <c r="B103" s="293">
        <v>2014</v>
      </c>
      <c r="C103" s="293">
        <f>B103+1</f>
        <v>2015</v>
      </c>
      <c r="D103" s="293">
        <f t="shared" ref="D103:AM103" si="59">C103+1</f>
        <v>2016</v>
      </c>
      <c r="E103" s="293">
        <f t="shared" si="59"/>
        <v>2017</v>
      </c>
      <c r="F103" s="293">
        <f t="shared" si="59"/>
        <v>2018</v>
      </c>
      <c r="G103" s="293">
        <f t="shared" si="59"/>
        <v>2019</v>
      </c>
      <c r="H103" s="293">
        <f t="shared" si="59"/>
        <v>2020</v>
      </c>
      <c r="I103" s="293">
        <f t="shared" si="59"/>
        <v>2021</v>
      </c>
      <c r="J103" s="293">
        <f t="shared" si="59"/>
        <v>2022</v>
      </c>
      <c r="K103" s="293">
        <f t="shared" si="59"/>
        <v>2023</v>
      </c>
      <c r="L103" s="293">
        <f t="shared" si="59"/>
        <v>2024</v>
      </c>
      <c r="M103" s="293">
        <f t="shared" si="59"/>
        <v>2025</v>
      </c>
      <c r="N103" s="293">
        <f t="shared" si="59"/>
        <v>2026</v>
      </c>
      <c r="O103" s="293">
        <f t="shared" si="59"/>
        <v>2027</v>
      </c>
      <c r="P103" s="293">
        <f t="shared" si="59"/>
        <v>2028</v>
      </c>
      <c r="Q103" s="293">
        <f t="shared" si="59"/>
        <v>2029</v>
      </c>
      <c r="R103" s="293">
        <f t="shared" si="59"/>
        <v>2030</v>
      </c>
      <c r="S103" s="293">
        <f t="shared" si="59"/>
        <v>2031</v>
      </c>
      <c r="T103" s="293">
        <f t="shared" si="59"/>
        <v>2032</v>
      </c>
      <c r="U103" s="293">
        <f t="shared" si="59"/>
        <v>2033</v>
      </c>
      <c r="V103" s="293">
        <f t="shared" si="59"/>
        <v>2034</v>
      </c>
      <c r="W103" s="293">
        <f t="shared" si="59"/>
        <v>2035</v>
      </c>
      <c r="X103" s="293">
        <f t="shared" si="59"/>
        <v>2036</v>
      </c>
      <c r="Y103" s="293">
        <f t="shared" si="59"/>
        <v>2037</v>
      </c>
      <c r="Z103" s="293">
        <f t="shared" si="59"/>
        <v>2038</v>
      </c>
      <c r="AA103" s="293">
        <f t="shared" si="59"/>
        <v>2039</v>
      </c>
      <c r="AB103" s="293">
        <f t="shared" si="59"/>
        <v>2040</v>
      </c>
      <c r="AC103" s="293">
        <f t="shared" si="59"/>
        <v>2041</v>
      </c>
      <c r="AD103" s="293">
        <f t="shared" si="59"/>
        <v>2042</v>
      </c>
      <c r="AE103" s="293">
        <f t="shared" si="59"/>
        <v>2043</v>
      </c>
      <c r="AF103" s="293">
        <f t="shared" si="59"/>
        <v>2044</v>
      </c>
      <c r="AG103" s="293">
        <f t="shared" si="59"/>
        <v>2045</v>
      </c>
      <c r="AH103" s="293">
        <f t="shared" si="59"/>
        <v>2046</v>
      </c>
      <c r="AI103" s="293">
        <f t="shared" si="59"/>
        <v>2047</v>
      </c>
      <c r="AJ103" s="293">
        <f t="shared" si="59"/>
        <v>2048</v>
      </c>
      <c r="AK103" s="293">
        <f t="shared" si="59"/>
        <v>2049</v>
      </c>
      <c r="AL103" s="293">
        <f t="shared" si="59"/>
        <v>2050</v>
      </c>
      <c r="AM103" s="293">
        <f t="shared" si="59"/>
        <v>2051</v>
      </c>
    </row>
    <row r="104" spans="1:59" ht="12.75" hidden="1" x14ac:dyDescent="0.2">
      <c r="A104" s="292" t="s">
        <v>537</v>
      </c>
      <c r="B104" s="294"/>
      <c r="C104" s="295"/>
      <c r="D104" s="295">
        <v>0</v>
      </c>
      <c r="E104" s="295">
        <v>0</v>
      </c>
      <c r="F104" s="295">
        <v>0</v>
      </c>
      <c r="G104" s="295">
        <v>0.05</v>
      </c>
      <c r="H104" s="295">
        <v>4.3999999999999997E-2</v>
      </c>
      <c r="I104" s="295">
        <v>4.2000000000000003E-2</v>
      </c>
      <c r="J104" s="295">
        <v>4.2999999999999997E-2</v>
      </c>
      <c r="K104" s="295">
        <v>4.3999999999999997E-2</v>
      </c>
      <c r="L104" s="295">
        <v>4.3999999999999997E-2</v>
      </c>
      <c r="M104" s="295">
        <v>4.2999999999999997E-2</v>
      </c>
      <c r="N104" s="295">
        <v>4.2000000000000003E-2</v>
      </c>
      <c r="O104" s="295">
        <v>4.1000000000000002E-2</v>
      </c>
      <c r="P104" s="295">
        <v>0.04</v>
      </c>
      <c r="Q104" s="295">
        <f t="shared" ref="Q104:AM104" si="60">P104</f>
        <v>0.04</v>
      </c>
      <c r="R104" s="295">
        <f t="shared" si="60"/>
        <v>0.04</v>
      </c>
      <c r="S104" s="295">
        <f t="shared" si="60"/>
        <v>0.04</v>
      </c>
      <c r="T104" s="295">
        <f t="shared" si="60"/>
        <v>0.04</v>
      </c>
      <c r="U104" s="295">
        <f t="shared" si="60"/>
        <v>0.04</v>
      </c>
      <c r="V104" s="295">
        <f t="shared" si="60"/>
        <v>0.04</v>
      </c>
      <c r="W104" s="295">
        <f t="shared" si="60"/>
        <v>0.04</v>
      </c>
      <c r="X104" s="295">
        <f t="shared" si="60"/>
        <v>0.04</v>
      </c>
      <c r="Y104" s="295">
        <f t="shared" si="60"/>
        <v>0.04</v>
      </c>
      <c r="Z104" s="295">
        <f t="shared" si="60"/>
        <v>0.04</v>
      </c>
      <c r="AA104" s="295">
        <f t="shared" si="60"/>
        <v>0.04</v>
      </c>
      <c r="AB104" s="295">
        <f t="shared" si="60"/>
        <v>0.04</v>
      </c>
      <c r="AC104" s="295">
        <f t="shared" si="60"/>
        <v>0.04</v>
      </c>
      <c r="AD104" s="295">
        <f t="shared" si="60"/>
        <v>0.04</v>
      </c>
      <c r="AE104" s="295">
        <f t="shared" si="60"/>
        <v>0.04</v>
      </c>
      <c r="AF104" s="295">
        <f t="shared" si="60"/>
        <v>0.04</v>
      </c>
      <c r="AG104" s="295">
        <f t="shared" si="60"/>
        <v>0.04</v>
      </c>
      <c r="AH104" s="295">
        <f t="shared" si="60"/>
        <v>0.04</v>
      </c>
      <c r="AI104" s="295">
        <f t="shared" si="60"/>
        <v>0.04</v>
      </c>
      <c r="AJ104" s="295">
        <f t="shared" si="60"/>
        <v>0.04</v>
      </c>
      <c r="AK104" s="295">
        <f t="shared" si="60"/>
        <v>0.04</v>
      </c>
      <c r="AL104" s="295">
        <f t="shared" si="60"/>
        <v>0.04</v>
      </c>
      <c r="AM104" s="295">
        <f t="shared" si="60"/>
        <v>0.04</v>
      </c>
    </row>
    <row r="105" spans="1:59" s="189" customFormat="1" ht="15" hidden="1" x14ac:dyDescent="0.2">
      <c r="A105" s="292" t="s">
        <v>538</v>
      </c>
      <c r="B105" s="296"/>
      <c r="C105" s="297">
        <f>(1+B105)*(1+C104)-1</f>
        <v>0</v>
      </c>
      <c r="D105" s="297">
        <f>(1+C105)*(1+D104)-1</f>
        <v>0</v>
      </c>
      <c r="E105" s="297">
        <f>(1+D105)*(1+E104)-1</f>
        <v>0</v>
      </c>
      <c r="F105" s="297">
        <f t="shared" ref="F105:AM105" si="61">(1+E105)*(1+F104)-1</f>
        <v>0</v>
      </c>
      <c r="G105" s="297">
        <f>(1+F105)*(1+G104)-1</f>
        <v>5.0000000000000044E-2</v>
      </c>
      <c r="H105" s="297">
        <f t="shared" si="61"/>
        <v>9.6200000000000063E-2</v>
      </c>
      <c r="I105" s="297">
        <f t="shared" si="61"/>
        <v>0.14224040000000016</v>
      </c>
      <c r="J105" s="297">
        <f t="shared" si="61"/>
        <v>0.19135673720000002</v>
      </c>
      <c r="K105" s="297">
        <f t="shared" si="61"/>
        <v>0.24377643363680002</v>
      </c>
      <c r="L105" s="297">
        <f t="shared" si="61"/>
        <v>0.29850259671681934</v>
      </c>
      <c r="M105" s="297">
        <f t="shared" si="61"/>
        <v>0.35433820837564256</v>
      </c>
      <c r="N105" s="297">
        <f t="shared" si="61"/>
        <v>0.41122041312741953</v>
      </c>
      <c r="O105" s="297">
        <f t="shared" si="61"/>
        <v>0.46908045006564358</v>
      </c>
      <c r="P105" s="297">
        <f t="shared" si="61"/>
        <v>0.52784366806826943</v>
      </c>
      <c r="Q105" s="297">
        <f t="shared" si="61"/>
        <v>0.58895741479100017</v>
      </c>
      <c r="R105" s="297">
        <f t="shared" si="61"/>
        <v>0.65251571138264031</v>
      </c>
      <c r="S105" s="297">
        <f t="shared" si="61"/>
        <v>0.71861633983794593</v>
      </c>
      <c r="T105" s="297">
        <f t="shared" si="61"/>
        <v>0.78736099343146382</v>
      </c>
      <c r="U105" s="297">
        <f t="shared" si="61"/>
        <v>0.85885543316872237</v>
      </c>
      <c r="V105" s="297">
        <f t="shared" si="61"/>
        <v>0.93320965049547122</v>
      </c>
      <c r="W105" s="297">
        <f t="shared" si="61"/>
        <v>1.0105380365152903</v>
      </c>
      <c r="X105" s="297">
        <f t="shared" si="61"/>
        <v>1.0909595579759022</v>
      </c>
      <c r="Y105" s="297">
        <f t="shared" si="61"/>
        <v>1.1745979402949382</v>
      </c>
      <c r="Z105" s="297">
        <f t="shared" si="61"/>
        <v>1.2615818579067359</v>
      </c>
      <c r="AA105" s="297">
        <f t="shared" si="61"/>
        <v>1.3520451322230054</v>
      </c>
      <c r="AB105" s="297">
        <f t="shared" si="61"/>
        <v>1.4461269375119259</v>
      </c>
      <c r="AC105" s="297">
        <f t="shared" si="61"/>
        <v>1.543972015012403</v>
      </c>
      <c r="AD105" s="297">
        <f t="shared" si="61"/>
        <v>1.6457308956128993</v>
      </c>
      <c r="AE105" s="297">
        <f t="shared" si="61"/>
        <v>1.7515601314374152</v>
      </c>
      <c r="AF105" s="297">
        <f t="shared" si="61"/>
        <v>1.8616225366949117</v>
      </c>
      <c r="AG105" s="297">
        <f t="shared" si="61"/>
        <v>1.9760874381627085</v>
      </c>
      <c r="AH105" s="297">
        <f t="shared" si="61"/>
        <v>2.0951309356892169</v>
      </c>
      <c r="AI105" s="297">
        <f t="shared" si="61"/>
        <v>2.2189361731167856</v>
      </c>
      <c r="AJ105" s="297">
        <f t="shared" si="61"/>
        <v>2.3476936200414573</v>
      </c>
      <c r="AK105" s="297">
        <f t="shared" si="61"/>
        <v>2.4816013648431157</v>
      </c>
      <c r="AL105" s="297">
        <f t="shared" si="61"/>
        <v>2.6208654194368406</v>
      </c>
      <c r="AM105" s="297">
        <f t="shared" si="61"/>
        <v>2.7657000362143145</v>
      </c>
    </row>
    <row r="106" spans="1:59" s="189" customFormat="1" hidden="1" x14ac:dyDescent="0.2">
      <c r="A106" s="220"/>
      <c r="B106" s="298"/>
      <c r="C106" s="299"/>
      <c r="D106" s="299"/>
      <c r="E106" s="299"/>
      <c r="F106" s="299"/>
      <c r="G106" s="299"/>
      <c r="H106" s="299"/>
      <c r="I106" s="299"/>
      <c r="J106" s="299"/>
      <c r="K106" s="299"/>
      <c r="L106" s="299"/>
      <c r="M106" s="299"/>
      <c r="N106" s="299"/>
      <c r="O106" s="299"/>
      <c r="P106" s="299"/>
      <c r="Q106" s="299"/>
      <c r="R106" s="299"/>
      <c r="S106" s="299"/>
      <c r="T106" s="299"/>
      <c r="U106" s="299"/>
      <c r="V106" s="299"/>
      <c r="W106" s="299"/>
      <c r="X106" s="299"/>
      <c r="Y106" s="299"/>
      <c r="Z106" s="299"/>
      <c r="AA106" s="299"/>
      <c r="AB106" s="299"/>
      <c r="AC106" s="299"/>
      <c r="AD106" s="299"/>
      <c r="AE106" s="299"/>
      <c r="AF106" s="299"/>
      <c r="AG106" s="299"/>
      <c r="AH106" s="299"/>
      <c r="AI106" s="299"/>
      <c r="AJ106" s="299"/>
      <c r="AK106" s="299"/>
      <c r="AL106" s="299"/>
      <c r="AM106" s="299"/>
    </row>
    <row r="107" spans="1:59" ht="12.75" hidden="1" x14ac:dyDescent="0.2">
      <c r="A107" s="218"/>
      <c r="B107" s="294">
        <v>2014</v>
      </c>
      <c r="C107" s="294">
        <f>B107+1</f>
        <v>2015</v>
      </c>
      <c r="D107" s="294">
        <f t="shared" ref="D107:AM108" si="62">C107+1</f>
        <v>2016</v>
      </c>
      <c r="E107" s="294">
        <f t="shared" si="62"/>
        <v>2017</v>
      </c>
      <c r="F107" s="294">
        <f t="shared" si="62"/>
        <v>2018</v>
      </c>
      <c r="G107" s="294">
        <f t="shared" si="62"/>
        <v>2019</v>
      </c>
      <c r="H107" s="294">
        <f t="shared" si="62"/>
        <v>2020</v>
      </c>
      <c r="I107" s="294">
        <f t="shared" si="62"/>
        <v>2021</v>
      </c>
      <c r="J107" s="294">
        <f t="shared" si="62"/>
        <v>2022</v>
      </c>
      <c r="K107" s="294">
        <f t="shared" si="62"/>
        <v>2023</v>
      </c>
      <c r="L107" s="294">
        <f t="shared" si="62"/>
        <v>2024</v>
      </c>
      <c r="M107" s="294">
        <f t="shared" si="62"/>
        <v>2025</v>
      </c>
      <c r="N107" s="294">
        <f t="shared" si="62"/>
        <v>2026</v>
      </c>
      <c r="O107" s="294">
        <f t="shared" si="62"/>
        <v>2027</v>
      </c>
      <c r="P107" s="294">
        <f t="shared" si="62"/>
        <v>2028</v>
      </c>
      <c r="Q107" s="294">
        <f t="shared" si="62"/>
        <v>2029</v>
      </c>
      <c r="R107" s="294">
        <f t="shared" si="62"/>
        <v>2030</v>
      </c>
      <c r="S107" s="294">
        <f t="shared" si="62"/>
        <v>2031</v>
      </c>
      <c r="T107" s="294">
        <f t="shared" si="62"/>
        <v>2032</v>
      </c>
      <c r="U107" s="294">
        <f t="shared" si="62"/>
        <v>2033</v>
      </c>
      <c r="V107" s="294">
        <f t="shared" si="62"/>
        <v>2034</v>
      </c>
      <c r="W107" s="294">
        <f t="shared" si="62"/>
        <v>2035</v>
      </c>
      <c r="X107" s="294">
        <f t="shared" si="62"/>
        <v>2036</v>
      </c>
      <c r="Y107" s="294">
        <f t="shared" si="62"/>
        <v>2037</v>
      </c>
      <c r="Z107" s="294">
        <f t="shared" si="62"/>
        <v>2038</v>
      </c>
      <c r="AA107" s="294">
        <f t="shared" si="62"/>
        <v>2039</v>
      </c>
      <c r="AB107" s="294">
        <f t="shared" si="62"/>
        <v>2040</v>
      </c>
      <c r="AC107" s="294">
        <f t="shared" si="62"/>
        <v>2041</v>
      </c>
      <c r="AD107" s="294">
        <f t="shared" si="62"/>
        <v>2042</v>
      </c>
      <c r="AE107" s="294">
        <f t="shared" si="62"/>
        <v>2043</v>
      </c>
      <c r="AF107" s="294">
        <f t="shared" si="62"/>
        <v>2044</v>
      </c>
      <c r="AG107" s="294">
        <f t="shared" si="62"/>
        <v>2045</v>
      </c>
      <c r="AH107" s="294">
        <f t="shared" si="62"/>
        <v>2046</v>
      </c>
      <c r="AI107" s="294">
        <f t="shared" si="62"/>
        <v>2047</v>
      </c>
      <c r="AJ107" s="294">
        <f t="shared" si="62"/>
        <v>2048</v>
      </c>
      <c r="AK107" s="294">
        <f t="shared" si="62"/>
        <v>2049</v>
      </c>
      <c r="AL107" s="294">
        <f t="shared" si="62"/>
        <v>2050</v>
      </c>
      <c r="AM107" s="294">
        <f t="shared" si="62"/>
        <v>2051</v>
      </c>
      <c r="AN107" s="216"/>
      <c r="AO107" s="216"/>
      <c r="AP107" s="216"/>
      <c r="AQ107" s="216"/>
      <c r="AR107" s="216"/>
      <c r="AS107" s="216"/>
      <c r="AT107" s="216"/>
      <c r="AU107" s="216"/>
      <c r="AV107" s="216"/>
      <c r="AW107" s="216"/>
      <c r="AX107" s="216"/>
      <c r="AY107" s="216"/>
      <c r="AZ107" s="216"/>
      <c r="BA107" s="216"/>
      <c r="BB107" s="216"/>
      <c r="BC107" s="216"/>
      <c r="BD107" s="216"/>
      <c r="BE107" s="216"/>
      <c r="BF107" s="216"/>
      <c r="BG107" s="216"/>
    </row>
    <row r="108" spans="1:59" hidden="1" x14ac:dyDescent="0.2">
      <c r="A108" s="218"/>
      <c r="B108" s="300">
        <v>0</v>
      </c>
      <c r="C108" s="300">
        <v>0</v>
      </c>
      <c r="D108" s="300">
        <v>0</v>
      </c>
      <c r="E108" s="300">
        <v>0</v>
      </c>
      <c r="F108" s="300">
        <v>0</v>
      </c>
      <c r="G108" s="300">
        <f t="shared" si="62"/>
        <v>1</v>
      </c>
      <c r="H108" s="300">
        <f t="shared" si="62"/>
        <v>2</v>
      </c>
      <c r="I108" s="300">
        <f t="shared" si="62"/>
        <v>3</v>
      </c>
      <c r="J108" s="300">
        <f t="shared" si="62"/>
        <v>4</v>
      </c>
      <c r="K108" s="300">
        <f t="shared" si="62"/>
        <v>5</v>
      </c>
      <c r="L108" s="300">
        <f t="shared" si="62"/>
        <v>6</v>
      </c>
      <c r="M108" s="300">
        <f t="shared" si="62"/>
        <v>7</v>
      </c>
      <c r="N108" s="300">
        <f t="shared" si="62"/>
        <v>8</v>
      </c>
      <c r="O108" s="300">
        <f t="shared" si="62"/>
        <v>9</v>
      </c>
      <c r="P108" s="300">
        <f t="shared" si="62"/>
        <v>10</v>
      </c>
      <c r="Q108" s="300">
        <f t="shared" si="62"/>
        <v>11</v>
      </c>
      <c r="R108" s="300">
        <f t="shared" si="62"/>
        <v>12</v>
      </c>
      <c r="S108" s="300">
        <f t="shared" si="62"/>
        <v>13</v>
      </c>
      <c r="T108" s="300">
        <f t="shared" si="62"/>
        <v>14</v>
      </c>
      <c r="U108" s="300">
        <f t="shared" si="62"/>
        <v>15</v>
      </c>
      <c r="V108" s="300">
        <f t="shared" si="62"/>
        <v>16</v>
      </c>
      <c r="W108" s="300">
        <f t="shared" si="62"/>
        <v>17</v>
      </c>
      <c r="X108" s="300">
        <f t="shared" si="62"/>
        <v>18</v>
      </c>
      <c r="Y108" s="300">
        <f t="shared" si="62"/>
        <v>19</v>
      </c>
      <c r="Z108" s="300">
        <f t="shared" si="62"/>
        <v>20</v>
      </c>
      <c r="AA108" s="300">
        <f t="shared" si="62"/>
        <v>21</v>
      </c>
      <c r="AB108" s="300">
        <f t="shared" si="62"/>
        <v>22</v>
      </c>
      <c r="AC108" s="300">
        <f t="shared" si="62"/>
        <v>23</v>
      </c>
      <c r="AD108" s="300">
        <f t="shared" si="62"/>
        <v>24</v>
      </c>
      <c r="AE108" s="300">
        <f t="shared" si="62"/>
        <v>25</v>
      </c>
      <c r="AF108" s="300">
        <f t="shared" si="62"/>
        <v>26</v>
      </c>
      <c r="AG108" s="300">
        <f t="shared" si="62"/>
        <v>27</v>
      </c>
      <c r="AH108" s="300">
        <f t="shared" si="62"/>
        <v>28</v>
      </c>
      <c r="AI108" s="300">
        <f t="shared" si="62"/>
        <v>29</v>
      </c>
      <c r="AJ108" s="300">
        <f t="shared" si="62"/>
        <v>30</v>
      </c>
      <c r="AK108" s="300">
        <f t="shared" si="62"/>
        <v>31</v>
      </c>
      <c r="AL108" s="300">
        <f t="shared" si="62"/>
        <v>32</v>
      </c>
      <c r="AM108" s="300">
        <f t="shared" si="62"/>
        <v>33</v>
      </c>
      <c r="AN108" s="216"/>
      <c r="AO108" s="216"/>
      <c r="AP108" s="216"/>
      <c r="AQ108" s="216"/>
      <c r="AR108" s="216"/>
      <c r="AS108" s="216"/>
      <c r="AT108" s="216"/>
      <c r="AU108" s="216"/>
      <c r="AV108" s="216"/>
      <c r="AW108" s="216"/>
      <c r="AX108" s="216"/>
      <c r="AY108" s="216"/>
      <c r="AZ108" s="216"/>
      <c r="BA108" s="216"/>
      <c r="BB108" s="216"/>
      <c r="BC108" s="216"/>
      <c r="BD108" s="216"/>
      <c r="BE108" s="216"/>
      <c r="BF108" s="216"/>
      <c r="BG108" s="216"/>
    </row>
    <row r="109" spans="1:59" ht="15" hidden="1" x14ac:dyDescent="0.2">
      <c r="A109" s="218"/>
      <c r="B109" s="301">
        <f>AVERAGE(A108:B108)</f>
        <v>0</v>
      </c>
      <c r="C109" s="301">
        <f>AVERAGE(B108:C108)</f>
        <v>0</v>
      </c>
      <c r="D109" s="301">
        <f>AVERAGE(C108:D108)</f>
        <v>0</v>
      </c>
      <c r="E109" s="301">
        <f>AVERAGE(D108:E108)</f>
        <v>0</v>
      </c>
      <c r="F109" s="301">
        <f t="shared" ref="F109:AM109" si="63">AVERAGE(E108:F108)</f>
        <v>0</v>
      </c>
      <c r="G109" s="301">
        <f t="shared" si="63"/>
        <v>0.5</v>
      </c>
      <c r="H109" s="301">
        <f t="shared" si="63"/>
        <v>1.5</v>
      </c>
      <c r="I109" s="301">
        <f t="shared" si="63"/>
        <v>2.5</v>
      </c>
      <c r="J109" s="301">
        <f t="shared" si="63"/>
        <v>3.5</v>
      </c>
      <c r="K109" s="301">
        <f t="shared" si="63"/>
        <v>4.5</v>
      </c>
      <c r="L109" s="301">
        <f t="shared" si="63"/>
        <v>5.5</v>
      </c>
      <c r="M109" s="301">
        <f t="shared" si="63"/>
        <v>6.5</v>
      </c>
      <c r="N109" s="301">
        <f t="shared" si="63"/>
        <v>7.5</v>
      </c>
      <c r="O109" s="301">
        <f t="shared" si="63"/>
        <v>8.5</v>
      </c>
      <c r="P109" s="301">
        <f t="shared" si="63"/>
        <v>9.5</v>
      </c>
      <c r="Q109" s="301">
        <f t="shared" si="63"/>
        <v>10.5</v>
      </c>
      <c r="R109" s="301">
        <f t="shared" si="63"/>
        <v>11.5</v>
      </c>
      <c r="S109" s="301">
        <f t="shared" si="63"/>
        <v>12.5</v>
      </c>
      <c r="T109" s="301">
        <f t="shared" si="63"/>
        <v>13.5</v>
      </c>
      <c r="U109" s="301">
        <f t="shared" si="63"/>
        <v>14.5</v>
      </c>
      <c r="V109" s="301">
        <f t="shared" si="63"/>
        <v>15.5</v>
      </c>
      <c r="W109" s="301">
        <f t="shared" si="63"/>
        <v>16.5</v>
      </c>
      <c r="X109" s="301">
        <f t="shared" si="63"/>
        <v>17.5</v>
      </c>
      <c r="Y109" s="301">
        <f t="shared" si="63"/>
        <v>18.5</v>
      </c>
      <c r="Z109" s="301">
        <f t="shared" si="63"/>
        <v>19.5</v>
      </c>
      <c r="AA109" s="301">
        <f t="shared" si="63"/>
        <v>20.5</v>
      </c>
      <c r="AB109" s="301">
        <f t="shared" si="63"/>
        <v>21.5</v>
      </c>
      <c r="AC109" s="301">
        <f t="shared" si="63"/>
        <v>22.5</v>
      </c>
      <c r="AD109" s="301">
        <f t="shared" si="63"/>
        <v>23.5</v>
      </c>
      <c r="AE109" s="301">
        <f t="shared" si="63"/>
        <v>24.5</v>
      </c>
      <c r="AF109" s="301">
        <f t="shared" si="63"/>
        <v>25.5</v>
      </c>
      <c r="AG109" s="301">
        <f t="shared" si="63"/>
        <v>26.5</v>
      </c>
      <c r="AH109" s="301">
        <f t="shared" si="63"/>
        <v>27.5</v>
      </c>
      <c r="AI109" s="301">
        <f t="shared" si="63"/>
        <v>28.5</v>
      </c>
      <c r="AJ109" s="301">
        <f t="shared" si="63"/>
        <v>29.5</v>
      </c>
      <c r="AK109" s="301">
        <f t="shared" si="63"/>
        <v>30.5</v>
      </c>
      <c r="AL109" s="301">
        <f t="shared" si="63"/>
        <v>31.5</v>
      </c>
      <c r="AM109" s="301">
        <f t="shared" si="63"/>
        <v>32.5</v>
      </c>
      <c r="AN109" s="216"/>
      <c r="AO109" s="216"/>
      <c r="AP109" s="216"/>
      <c r="AQ109" s="216"/>
      <c r="AR109" s="216"/>
      <c r="AS109" s="216"/>
      <c r="AT109" s="216"/>
      <c r="AU109" s="216"/>
      <c r="AV109" s="216"/>
      <c r="AW109" s="216"/>
      <c r="AX109" s="216"/>
      <c r="AY109" s="216"/>
      <c r="AZ109" s="216"/>
      <c r="BA109" s="216"/>
      <c r="BB109" s="216"/>
      <c r="BC109" s="216"/>
      <c r="BD109" s="216"/>
      <c r="BE109" s="216"/>
      <c r="BF109" s="216"/>
      <c r="BG109" s="216"/>
    </row>
    <row r="110" spans="1:59" ht="12.75" hidden="1" x14ac:dyDescent="0.2">
      <c r="A110" s="218"/>
      <c r="B110" s="216"/>
      <c r="C110" s="216"/>
      <c r="D110" s="216"/>
      <c r="E110" s="216"/>
      <c r="F110" s="216"/>
      <c r="G110" s="216"/>
      <c r="H110" s="216"/>
      <c r="I110" s="216"/>
      <c r="J110" s="216"/>
      <c r="K110" s="216"/>
      <c r="L110" s="216"/>
      <c r="M110" s="216"/>
      <c r="N110" s="216"/>
      <c r="O110" s="216"/>
      <c r="P110" s="216"/>
      <c r="Q110" s="216"/>
      <c r="R110" s="216"/>
      <c r="S110" s="216"/>
      <c r="T110" s="216"/>
      <c r="U110" s="216"/>
      <c r="V110" s="216"/>
      <c r="W110" s="216"/>
      <c r="X110" s="216"/>
      <c r="Y110" s="216"/>
      <c r="Z110" s="216"/>
      <c r="AA110" s="216"/>
      <c r="AB110" s="216"/>
      <c r="AC110" s="216"/>
      <c r="AD110" s="216"/>
      <c r="AE110" s="216"/>
      <c r="AF110" s="216"/>
      <c r="AG110" s="216"/>
      <c r="AH110" s="216"/>
      <c r="AI110" s="216"/>
      <c r="AJ110" s="216"/>
      <c r="AK110" s="216"/>
      <c r="AL110" s="216"/>
      <c r="AM110" s="216"/>
      <c r="AN110" s="216"/>
      <c r="AO110" s="216"/>
      <c r="AP110" s="216"/>
      <c r="AQ110" s="216"/>
      <c r="AR110" s="216"/>
      <c r="AS110" s="216"/>
      <c r="AT110" s="216"/>
      <c r="AU110" s="216"/>
      <c r="AV110" s="216"/>
      <c r="AW110" s="216"/>
      <c r="AX110" s="216"/>
      <c r="AY110" s="216"/>
      <c r="AZ110" s="216"/>
      <c r="BA110" s="216"/>
      <c r="BB110" s="216"/>
      <c r="BC110" s="216"/>
      <c r="BD110" s="216"/>
      <c r="BE110" s="216"/>
      <c r="BF110" s="216"/>
      <c r="BG110" s="216"/>
    </row>
    <row r="111" spans="1:59" ht="12.75" hidden="1" x14ac:dyDescent="0.2">
      <c r="A111" s="218"/>
      <c r="B111" s="216"/>
      <c r="C111" s="216"/>
      <c r="D111" s="216"/>
      <c r="E111" s="216"/>
      <c r="F111" s="216"/>
      <c r="G111" s="216"/>
      <c r="H111" s="216"/>
      <c r="I111" s="216"/>
      <c r="J111" s="216"/>
      <c r="K111" s="216"/>
      <c r="L111" s="216"/>
      <c r="M111" s="216"/>
      <c r="N111" s="216"/>
      <c r="O111" s="216"/>
      <c r="P111" s="216"/>
      <c r="Q111" s="216"/>
      <c r="R111" s="216"/>
      <c r="S111" s="216"/>
      <c r="T111" s="216"/>
      <c r="U111" s="216"/>
      <c r="V111" s="216"/>
      <c r="W111" s="216"/>
      <c r="X111" s="216"/>
      <c r="Y111" s="216"/>
      <c r="Z111" s="216"/>
      <c r="AA111" s="216"/>
      <c r="AB111" s="216"/>
      <c r="AC111" s="216"/>
      <c r="AD111" s="216"/>
      <c r="AE111" s="216"/>
      <c r="AF111" s="216"/>
      <c r="AG111" s="216"/>
      <c r="AH111" s="216"/>
      <c r="AI111" s="216"/>
      <c r="AJ111" s="216"/>
      <c r="AK111" s="216"/>
      <c r="AL111" s="216"/>
      <c r="AM111" s="216"/>
      <c r="AN111" s="216"/>
      <c r="AO111" s="216"/>
      <c r="AP111" s="216"/>
      <c r="AQ111" s="216"/>
      <c r="AR111" s="216"/>
      <c r="AS111" s="216"/>
      <c r="AT111" s="216"/>
      <c r="AU111" s="216"/>
      <c r="AV111" s="216"/>
      <c r="AW111" s="216"/>
      <c r="AX111" s="216"/>
      <c r="AY111" s="216"/>
      <c r="AZ111" s="216"/>
      <c r="BA111" s="216"/>
      <c r="BB111" s="216"/>
      <c r="BC111" s="216"/>
      <c r="BD111" s="216"/>
      <c r="BE111" s="216"/>
      <c r="BF111" s="216"/>
      <c r="BG111" s="216"/>
    </row>
    <row r="112" spans="1:59" ht="12.75" hidden="1" x14ac:dyDescent="0.2">
      <c r="A112" s="218"/>
      <c r="B112" s="216"/>
      <c r="C112" s="216"/>
      <c r="D112" s="216"/>
      <c r="E112" s="216"/>
      <c r="F112" s="216"/>
      <c r="G112" s="216"/>
      <c r="H112" s="216"/>
      <c r="I112" s="216"/>
      <c r="J112" s="216"/>
      <c r="K112" s="216"/>
      <c r="L112" s="216"/>
      <c r="M112" s="216"/>
      <c r="N112" s="216"/>
      <c r="O112" s="216"/>
      <c r="P112" s="216"/>
      <c r="Q112" s="216"/>
      <c r="R112" s="216"/>
      <c r="S112" s="216"/>
      <c r="T112" s="216"/>
      <c r="U112" s="216"/>
      <c r="V112" s="216"/>
      <c r="W112" s="216"/>
      <c r="X112" s="216"/>
      <c r="Y112" s="216"/>
      <c r="Z112" s="216"/>
      <c r="AA112" s="216"/>
      <c r="AB112" s="216"/>
      <c r="AC112" s="216"/>
      <c r="AD112" s="216"/>
      <c r="AE112" s="216"/>
      <c r="AF112" s="216"/>
      <c r="AG112" s="216"/>
      <c r="AH112" s="216"/>
      <c r="AI112" s="216"/>
      <c r="AJ112" s="216"/>
      <c r="AK112" s="216"/>
      <c r="AL112" s="216"/>
      <c r="AM112" s="216"/>
      <c r="AN112" s="216"/>
      <c r="AO112" s="216"/>
      <c r="AP112" s="216"/>
      <c r="AQ112" s="216"/>
      <c r="AR112" s="216"/>
      <c r="AS112" s="216"/>
      <c r="AT112" s="216"/>
      <c r="AU112" s="216"/>
      <c r="AV112" s="216"/>
      <c r="AW112" s="216"/>
      <c r="AX112" s="216"/>
      <c r="AY112" s="216"/>
      <c r="AZ112" s="216"/>
      <c r="BA112" s="216"/>
      <c r="BB112" s="216"/>
      <c r="BC112" s="216"/>
      <c r="BD112" s="216"/>
      <c r="BE112" s="216"/>
      <c r="BF112" s="216"/>
      <c r="BG112" s="216"/>
    </row>
    <row r="113" spans="1:59" ht="12.75" hidden="1" x14ac:dyDescent="0.2">
      <c r="A113" s="218" t="s">
        <v>651</v>
      </c>
      <c r="B113" s="306">
        <f>34.28272-C113</f>
        <v>23.382428999999998</v>
      </c>
      <c r="C113" s="306">
        <v>10.900290999999999</v>
      </c>
      <c r="D113" s="306">
        <v>32.661613000000003</v>
      </c>
      <c r="E113" s="306">
        <v>31.429352999999999</v>
      </c>
      <c r="F113" s="306">
        <v>0.105882</v>
      </c>
      <c r="G113" s="306">
        <v>42.305218000000004</v>
      </c>
      <c r="H113" s="306">
        <v>52.343000000000004</v>
      </c>
      <c r="I113" s="306">
        <v>2.7638669999999999</v>
      </c>
      <c r="J113" s="307">
        <f>SUM(B113:I113)</f>
        <v>195.89165300000002</v>
      </c>
      <c r="K113" s="216"/>
      <c r="L113" s="216"/>
      <c r="M113" s="216"/>
      <c r="N113" s="216"/>
      <c r="O113" s="216"/>
      <c r="P113" s="216"/>
      <c r="Q113" s="216"/>
      <c r="R113" s="216"/>
      <c r="S113" s="216"/>
      <c r="T113" s="216"/>
      <c r="U113" s="216"/>
      <c r="V113" s="216"/>
      <c r="W113" s="216"/>
      <c r="X113" s="216"/>
      <c r="Y113" s="216"/>
      <c r="Z113" s="216"/>
      <c r="AA113" s="216"/>
      <c r="AB113" s="216"/>
      <c r="AC113" s="216"/>
      <c r="AD113" s="216"/>
      <c r="AE113" s="216"/>
      <c r="AF113" s="216"/>
      <c r="AG113" s="216"/>
      <c r="AH113" s="216"/>
      <c r="AI113" s="216"/>
      <c r="AJ113" s="216"/>
      <c r="AK113" s="216"/>
      <c r="AL113" s="216"/>
      <c r="AM113" s="216"/>
      <c r="AN113" s="216"/>
      <c r="AO113" s="216"/>
      <c r="AP113" s="216"/>
      <c r="AQ113" s="216"/>
      <c r="AR113" s="216"/>
      <c r="AS113" s="216"/>
      <c r="AT113" s="216"/>
      <c r="AU113" s="216"/>
      <c r="AV113" s="216"/>
      <c r="AW113" s="216"/>
      <c r="AX113" s="216"/>
      <c r="AY113" s="216"/>
      <c r="AZ113" s="216"/>
      <c r="BA113" s="216"/>
      <c r="BB113" s="216"/>
      <c r="BC113" s="216"/>
      <c r="BD113" s="216"/>
      <c r="BE113" s="216"/>
      <c r="BF113" s="216"/>
      <c r="BG113" s="216"/>
    </row>
    <row r="114" spans="1:59" ht="12.75" hidden="1" x14ac:dyDescent="0.2">
      <c r="A114" s="218"/>
      <c r="B114" s="306">
        <f>B113/$J113</f>
        <v>0.11936409051589347</v>
      </c>
      <c r="C114" s="306">
        <f t="shared" ref="C114:I114" si="64">C113/$J113</f>
        <v>5.564448935453109E-2</v>
      </c>
      <c r="D114" s="306">
        <f t="shared" si="64"/>
        <v>0.16673305115251644</v>
      </c>
      <c r="E114" s="306">
        <f t="shared" si="64"/>
        <v>0.16044253299552277</v>
      </c>
      <c r="F114" s="306">
        <f t="shared" si="64"/>
        <v>5.4051307637901244E-4</v>
      </c>
      <c r="G114" s="306">
        <f t="shared" si="64"/>
        <v>0.21596233097282608</v>
      </c>
      <c r="H114" s="306">
        <f t="shared" si="64"/>
        <v>0.26720383027244149</v>
      </c>
      <c r="I114" s="306">
        <f t="shared" si="64"/>
        <v>1.410916165988961E-2</v>
      </c>
      <c r="J114" s="216"/>
      <c r="K114" s="216"/>
      <c r="L114" s="216"/>
      <c r="M114" s="216"/>
      <c r="N114" s="216"/>
      <c r="O114" s="216"/>
      <c r="P114" s="216"/>
      <c r="Q114" s="216"/>
      <c r="R114" s="216"/>
      <c r="S114" s="216"/>
      <c r="T114" s="216"/>
      <c r="U114" s="216"/>
      <c r="V114" s="216"/>
      <c r="W114" s="216"/>
      <c r="X114" s="216"/>
      <c r="Y114" s="216"/>
      <c r="Z114" s="216"/>
      <c r="AA114" s="216"/>
      <c r="AB114" s="216"/>
      <c r="AC114" s="216"/>
      <c r="AD114" s="216"/>
      <c r="AE114" s="216"/>
      <c r="AF114" s="216"/>
      <c r="AG114" s="216"/>
      <c r="AH114" s="216"/>
      <c r="AI114" s="216"/>
      <c r="AJ114" s="216"/>
      <c r="AK114" s="216"/>
      <c r="AL114" s="216"/>
      <c r="AM114" s="216"/>
      <c r="AN114" s="216"/>
      <c r="AO114" s="216"/>
      <c r="AP114" s="216"/>
      <c r="AQ114" s="216"/>
      <c r="AR114" s="216"/>
      <c r="AS114" s="216"/>
      <c r="AT114" s="216"/>
      <c r="AU114" s="216"/>
      <c r="AV114" s="216"/>
      <c r="AW114" s="216"/>
      <c r="AX114" s="216"/>
      <c r="AY114" s="216"/>
      <c r="AZ114" s="216"/>
      <c r="BA114" s="216"/>
      <c r="BB114" s="216"/>
      <c r="BC114" s="216"/>
      <c r="BD114" s="216"/>
      <c r="BE114" s="216"/>
      <c r="BF114" s="216"/>
      <c r="BG114" s="216"/>
    </row>
    <row r="115" spans="1:59" ht="12.75" hidden="1" x14ac:dyDescent="0.2">
      <c r="A115" s="218"/>
      <c r="B115" s="307"/>
      <c r="C115" s="307">
        <f>B114</f>
        <v>0.11936409051589347</v>
      </c>
      <c r="D115" s="307">
        <f t="shared" ref="D115:J115" si="65">C115+C114</f>
        <v>0.17500857987042456</v>
      </c>
      <c r="E115" s="307">
        <f t="shared" si="65"/>
        <v>0.34174163102294097</v>
      </c>
      <c r="F115" s="307">
        <f t="shared" si="65"/>
        <v>0.50218416401846377</v>
      </c>
      <c r="G115" s="307">
        <f t="shared" si="65"/>
        <v>0.50272467709484281</v>
      </c>
      <c r="H115" s="307">
        <f t="shared" si="65"/>
        <v>0.71868700806766883</v>
      </c>
      <c r="I115" s="307">
        <f t="shared" si="65"/>
        <v>0.98589083834011038</v>
      </c>
      <c r="J115" s="307">
        <f t="shared" si="65"/>
        <v>1</v>
      </c>
      <c r="K115" s="216"/>
      <c r="L115" s="216"/>
      <c r="M115" s="216"/>
      <c r="N115" s="216"/>
      <c r="O115" s="216"/>
      <c r="P115" s="216"/>
      <c r="Q115" s="216"/>
      <c r="R115" s="216"/>
      <c r="S115" s="216"/>
      <c r="T115" s="216"/>
      <c r="U115" s="216"/>
      <c r="V115" s="216"/>
      <c r="W115" s="216"/>
      <c r="X115" s="216"/>
      <c r="Y115" s="216"/>
      <c r="Z115" s="216"/>
      <c r="AA115" s="216"/>
      <c r="AB115" s="216"/>
      <c r="AC115" s="216"/>
      <c r="AD115" s="216"/>
      <c r="AE115" s="216"/>
      <c r="AF115" s="216"/>
      <c r="AG115" s="216"/>
      <c r="AH115" s="216"/>
      <c r="AI115" s="216"/>
      <c r="AJ115" s="216"/>
      <c r="AK115" s="216"/>
      <c r="AL115" s="216"/>
      <c r="AM115" s="216"/>
      <c r="AN115" s="216"/>
      <c r="AO115" s="216"/>
      <c r="AP115" s="216"/>
      <c r="AQ115" s="216"/>
      <c r="AR115" s="216"/>
      <c r="AS115" s="216"/>
      <c r="AT115" s="216"/>
      <c r="AU115" s="216"/>
      <c r="AV115" s="216"/>
      <c r="AW115" s="216"/>
      <c r="AX115" s="216"/>
      <c r="AY115" s="216"/>
      <c r="AZ115" s="216"/>
      <c r="BA115" s="216"/>
      <c r="BB115" s="216"/>
      <c r="BC115" s="216"/>
      <c r="BD115" s="216"/>
      <c r="BE115" s="216"/>
      <c r="BF115" s="216"/>
      <c r="BG115" s="216"/>
    </row>
    <row r="116" spans="1:59" ht="12.75" x14ac:dyDescent="0.2">
      <c r="A116" s="218"/>
      <c r="B116" s="216"/>
      <c r="C116" s="216"/>
      <c r="D116" s="216"/>
      <c r="E116" s="216"/>
      <c r="F116" s="216"/>
      <c r="G116" s="216"/>
      <c r="H116" s="216"/>
      <c r="I116" s="216"/>
      <c r="J116" s="216"/>
      <c r="K116" s="216"/>
      <c r="L116" s="216"/>
      <c r="M116" s="216"/>
      <c r="N116" s="216"/>
      <c r="O116" s="216"/>
      <c r="P116" s="216"/>
      <c r="Q116" s="216"/>
      <c r="R116" s="216"/>
      <c r="S116" s="216"/>
      <c r="T116" s="216"/>
      <c r="U116" s="216"/>
      <c r="V116" s="216"/>
      <c r="W116" s="216"/>
      <c r="X116" s="216"/>
      <c r="Y116" s="216"/>
      <c r="Z116" s="216"/>
      <c r="AA116" s="216"/>
      <c r="AB116" s="216"/>
      <c r="AC116" s="216"/>
      <c r="AD116" s="216"/>
      <c r="AE116" s="216"/>
      <c r="AF116" s="216"/>
      <c r="AG116" s="216"/>
      <c r="AH116" s="216"/>
      <c r="AI116" s="216"/>
      <c r="AJ116" s="216"/>
      <c r="AK116" s="216"/>
      <c r="AL116" s="216"/>
      <c r="AM116" s="216"/>
      <c r="AN116" s="216"/>
      <c r="AO116" s="216"/>
      <c r="AP116" s="216"/>
      <c r="AQ116" s="216"/>
      <c r="AR116" s="216"/>
      <c r="AS116" s="216"/>
      <c r="AT116" s="216"/>
      <c r="AU116" s="216"/>
      <c r="AV116" s="216"/>
      <c r="AW116" s="216"/>
      <c r="AX116" s="216"/>
      <c r="AY116" s="216"/>
      <c r="AZ116" s="216"/>
      <c r="BA116" s="216"/>
      <c r="BB116" s="216"/>
      <c r="BC116" s="216"/>
      <c r="BD116" s="216"/>
      <c r="BE116" s="216"/>
      <c r="BF116" s="216"/>
      <c r="BG116" s="216"/>
    </row>
    <row r="117" spans="1:59" ht="12.75" x14ac:dyDescent="0.2">
      <c r="A117" s="218"/>
      <c r="B117" s="216"/>
      <c r="C117" s="216"/>
      <c r="D117" s="216"/>
      <c r="E117" s="216"/>
      <c r="F117" s="216"/>
      <c r="G117" s="216"/>
      <c r="H117" s="216"/>
      <c r="I117" s="216"/>
      <c r="J117" s="216"/>
      <c r="K117" s="216"/>
      <c r="L117" s="216"/>
      <c r="M117" s="216"/>
      <c r="N117" s="216"/>
      <c r="O117" s="216"/>
      <c r="P117" s="216"/>
      <c r="Q117" s="216"/>
      <c r="R117" s="216"/>
      <c r="S117" s="216"/>
      <c r="T117" s="216"/>
      <c r="U117" s="216"/>
      <c r="V117" s="216"/>
      <c r="W117" s="216"/>
      <c r="X117" s="216"/>
      <c r="Y117" s="216"/>
      <c r="Z117" s="216"/>
      <c r="AA117" s="216"/>
      <c r="AB117" s="216"/>
      <c r="AC117" s="216"/>
      <c r="AD117" s="216"/>
      <c r="AE117" s="216"/>
      <c r="AF117" s="216"/>
      <c r="AG117" s="216"/>
      <c r="AH117" s="216"/>
      <c r="AI117" s="216"/>
      <c r="AJ117" s="216"/>
      <c r="AK117" s="216"/>
      <c r="AL117" s="216"/>
      <c r="AM117" s="216"/>
      <c r="AN117" s="216"/>
      <c r="AO117" s="216"/>
      <c r="AP117" s="216"/>
      <c r="AQ117" s="216"/>
      <c r="AR117" s="216"/>
      <c r="AS117" s="216"/>
      <c r="AT117" s="216"/>
      <c r="AU117" s="216"/>
      <c r="AV117" s="216"/>
      <c r="AW117" s="216"/>
      <c r="AX117" s="216"/>
      <c r="AY117" s="216"/>
      <c r="AZ117" s="216"/>
      <c r="BA117" s="216"/>
      <c r="BB117" s="216"/>
      <c r="BC117" s="216"/>
      <c r="BD117" s="216"/>
      <c r="BE117" s="216"/>
      <c r="BF117" s="216"/>
      <c r="BG117" s="216"/>
    </row>
    <row r="118" spans="1:59" ht="12.75" x14ac:dyDescent="0.2">
      <c r="A118" s="218"/>
      <c r="B118" s="216"/>
      <c r="C118" s="216"/>
      <c r="D118" s="216"/>
      <c r="E118" s="216"/>
      <c r="F118" s="216"/>
      <c r="G118" s="216"/>
      <c r="H118" s="216"/>
      <c r="I118" s="216"/>
      <c r="J118" s="216"/>
      <c r="K118" s="216"/>
      <c r="L118" s="216"/>
      <c r="M118" s="216"/>
      <c r="N118" s="216"/>
      <c r="O118" s="216"/>
      <c r="P118" s="216"/>
      <c r="Q118" s="216"/>
      <c r="R118" s="216"/>
      <c r="S118" s="216"/>
      <c r="T118" s="216"/>
      <c r="U118" s="216"/>
      <c r="V118" s="216"/>
      <c r="W118" s="216"/>
      <c r="X118" s="216"/>
      <c r="Y118" s="216"/>
      <c r="Z118" s="216"/>
      <c r="AA118" s="216"/>
      <c r="AB118" s="216"/>
      <c r="AC118" s="216"/>
      <c r="AD118" s="216"/>
      <c r="AE118" s="216"/>
      <c r="AF118" s="216"/>
      <c r="AG118" s="216"/>
      <c r="AH118" s="216"/>
      <c r="AI118" s="216"/>
      <c r="AJ118" s="216"/>
      <c r="AK118" s="216"/>
      <c r="AL118" s="216"/>
      <c r="AM118" s="216"/>
      <c r="AN118" s="216"/>
      <c r="AO118" s="216"/>
      <c r="AP118" s="216"/>
      <c r="AQ118" s="216"/>
      <c r="AR118" s="216"/>
      <c r="AS118" s="216"/>
      <c r="AT118" s="216"/>
      <c r="AU118" s="216"/>
      <c r="AV118" s="216"/>
      <c r="AW118" s="216"/>
      <c r="AX118" s="216"/>
      <c r="AY118" s="216"/>
      <c r="AZ118" s="216"/>
      <c r="BA118" s="216"/>
      <c r="BB118" s="216"/>
      <c r="BC118" s="216"/>
      <c r="BD118" s="216"/>
      <c r="BE118" s="216"/>
      <c r="BF118" s="216"/>
      <c r="BG118" s="216"/>
    </row>
    <row r="119" spans="1:59" ht="12.75" x14ac:dyDescent="0.2">
      <c r="A119" s="218"/>
      <c r="B119" s="216"/>
      <c r="C119" s="216"/>
      <c r="D119" s="216"/>
      <c r="E119" s="216"/>
      <c r="F119" s="216"/>
      <c r="G119" s="216"/>
      <c r="H119" s="216"/>
      <c r="I119" s="216"/>
      <c r="J119" s="216"/>
      <c r="K119" s="216"/>
      <c r="L119" s="216"/>
      <c r="M119" s="216"/>
      <c r="N119" s="216"/>
      <c r="O119" s="216"/>
      <c r="P119" s="216"/>
      <c r="Q119" s="216"/>
      <c r="R119" s="216"/>
      <c r="S119" s="216"/>
      <c r="T119" s="216"/>
      <c r="U119" s="216"/>
      <c r="V119" s="216"/>
      <c r="W119" s="216"/>
      <c r="X119" s="216"/>
      <c r="Y119" s="216"/>
      <c r="Z119" s="216"/>
      <c r="AA119" s="216"/>
      <c r="AB119" s="216"/>
      <c r="AC119" s="216"/>
      <c r="AD119" s="216"/>
      <c r="AE119" s="216"/>
      <c r="AF119" s="216"/>
      <c r="AG119" s="216"/>
      <c r="AH119" s="216"/>
      <c r="AI119" s="216"/>
      <c r="AJ119" s="216"/>
      <c r="AK119" s="216"/>
      <c r="AL119" s="216"/>
      <c r="AM119" s="216"/>
      <c r="AN119" s="216"/>
      <c r="AO119" s="216"/>
      <c r="AP119" s="216"/>
      <c r="AQ119" s="216"/>
      <c r="AR119" s="216"/>
      <c r="AS119" s="216"/>
      <c r="AT119" s="216"/>
      <c r="AU119" s="216"/>
      <c r="AV119" s="216"/>
      <c r="AW119" s="216"/>
      <c r="AX119" s="216"/>
      <c r="AY119" s="216"/>
      <c r="AZ119" s="216"/>
      <c r="BA119" s="216"/>
      <c r="BB119" s="216"/>
      <c r="BC119" s="216"/>
      <c r="BD119" s="216"/>
      <c r="BE119" s="216"/>
      <c r="BF119" s="216"/>
      <c r="BG119" s="216"/>
    </row>
    <row r="120" spans="1:59" ht="12.75" x14ac:dyDescent="0.2">
      <c r="A120" s="218"/>
      <c r="B120" s="216"/>
      <c r="C120" s="216"/>
      <c r="D120" s="216"/>
      <c r="E120" s="216"/>
      <c r="F120" s="216"/>
      <c r="G120" s="216"/>
      <c r="H120" s="216"/>
      <c r="I120" s="216"/>
      <c r="J120" s="216"/>
      <c r="K120" s="216"/>
      <c r="L120" s="216"/>
      <c r="M120" s="216"/>
      <c r="N120" s="216"/>
      <c r="O120" s="216"/>
      <c r="P120" s="216"/>
      <c r="Q120" s="216"/>
      <c r="R120" s="216"/>
      <c r="S120" s="216"/>
      <c r="T120" s="216"/>
      <c r="U120" s="216"/>
      <c r="V120" s="216"/>
      <c r="W120" s="216"/>
      <c r="X120" s="216"/>
      <c r="Y120" s="216"/>
      <c r="Z120" s="216"/>
      <c r="AA120" s="216"/>
      <c r="AB120" s="216"/>
      <c r="AC120" s="216"/>
      <c r="AD120" s="216"/>
      <c r="AE120" s="216"/>
      <c r="AF120" s="216"/>
      <c r="AG120" s="216"/>
      <c r="AH120" s="216"/>
      <c r="AI120" s="216"/>
      <c r="AJ120" s="216"/>
      <c r="AK120" s="216"/>
      <c r="AL120" s="216"/>
      <c r="AM120" s="216"/>
      <c r="AN120" s="216"/>
      <c r="AO120" s="216"/>
      <c r="AP120" s="216"/>
      <c r="AQ120" s="216"/>
      <c r="AR120" s="216"/>
      <c r="AS120" s="216"/>
      <c r="AT120" s="216"/>
      <c r="AU120" s="216"/>
      <c r="AV120" s="216"/>
      <c r="AW120" s="216"/>
      <c r="AX120" s="216"/>
      <c r="AY120" s="216"/>
      <c r="AZ120" s="216"/>
      <c r="BA120" s="216"/>
      <c r="BB120" s="216"/>
      <c r="BC120" s="216"/>
      <c r="BD120" s="216"/>
      <c r="BE120" s="216"/>
      <c r="BF120" s="216"/>
      <c r="BG120" s="216"/>
    </row>
    <row r="121" spans="1:59" ht="12.75" x14ac:dyDescent="0.2">
      <c r="A121" s="218"/>
      <c r="B121" s="216"/>
      <c r="C121" s="216"/>
      <c r="D121" s="216"/>
      <c r="E121" s="216"/>
      <c r="F121" s="216"/>
      <c r="G121" s="216"/>
      <c r="H121" s="216"/>
      <c r="I121" s="216"/>
      <c r="J121" s="216"/>
      <c r="K121" s="216"/>
      <c r="L121" s="216"/>
      <c r="M121" s="216"/>
      <c r="N121" s="216"/>
      <c r="O121" s="216"/>
      <c r="P121" s="216"/>
      <c r="Q121" s="216"/>
      <c r="R121" s="216"/>
      <c r="S121" s="216"/>
      <c r="T121" s="216"/>
      <c r="U121" s="216"/>
      <c r="V121" s="216"/>
      <c r="W121" s="216"/>
      <c r="X121" s="216"/>
      <c r="Y121" s="216"/>
      <c r="Z121" s="216"/>
      <c r="AA121" s="216"/>
      <c r="AB121" s="216"/>
      <c r="AC121" s="216"/>
      <c r="AD121" s="216"/>
      <c r="AE121" s="216"/>
      <c r="AF121" s="216"/>
      <c r="AG121" s="216"/>
      <c r="AH121" s="216"/>
      <c r="AI121" s="216"/>
      <c r="AJ121" s="216"/>
      <c r="AK121" s="216"/>
      <c r="AL121" s="216"/>
      <c r="AM121" s="216"/>
      <c r="AN121" s="216"/>
      <c r="AO121" s="216"/>
      <c r="AP121" s="216"/>
      <c r="AQ121" s="216"/>
      <c r="AR121" s="216"/>
      <c r="AS121" s="216"/>
      <c r="AT121" s="216"/>
      <c r="AU121" s="216"/>
      <c r="AV121" s="216"/>
      <c r="AW121" s="216"/>
      <c r="AX121" s="216"/>
      <c r="AY121" s="216"/>
      <c r="AZ121" s="216"/>
      <c r="BA121" s="216"/>
      <c r="BB121" s="216"/>
      <c r="BC121" s="216"/>
      <c r="BD121" s="216"/>
      <c r="BE121" s="216"/>
      <c r="BF121" s="216"/>
      <c r="BG121" s="216"/>
    </row>
    <row r="122" spans="1:59" ht="12.75" x14ac:dyDescent="0.2">
      <c r="A122" s="218"/>
      <c r="B122" s="216"/>
      <c r="C122" s="216"/>
      <c r="D122" s="216"/>
      <c r="E122" s="216"/>
      <c r="F122" s="216"/>
      <c r="G122" s="216"/>
      <c r="H122" s="216"/>
      <c r="I122" s="216"/>
      <c r="J122" s="216"/>
      <c r="K122" s="216"/>
      <c r="L122" s="216"/>
      <c r="M122" s="216"/>
      <c r="N122" s="216"/>
      <c r="O122" s="216"/>
      <c r="P122" s="216"/>
      <c r="Q122" s="216"/>
      <c r="R122" s="216"/>
      <c r="S122" s="216"/>
      <c r="T122" s="216"/>
      <c r="U122" s="216"/>
      <c r="V122" s="216"/>
      <c r="W122" s="216"/>
      <c r="X122" s="216"/>
      <c r="Y122" s="216"/>
      <c r="Z122" s="216"/>
      <c r="AA122" s="216"/>
      <c r="AB122" s="216"/>
      <c r="AC122" s="216"/>
      <c r="AD122" s="216"/>
      <c r="AE122" s="216"/>
      <c r="AF122" s="216"/>
      <c r="AG122" s="216"/>
      <c r="AH122" s="216"/>
      <c r="AI122" s="216"/>
      <c r="AJ122" s="216"/>
      <c r="AK122" s="216"/>
      <c r="AL122" s="216"/>
      <c r="AM122" s="216"/>
      <c r="AN122" s="216"/>
      <c r="AO122" s="216"/>
      <c r="AP122" s="216"/>
      <c r="AQ122" s="216"/>
      <c r="AR122" s="216"/>
      <c r="AS122" s="216"/>
      <c r="AT122" s="216"/>
      <c r="AU122" s="216"/>
      <c r="AV122" s="216"/>
      <c r="AW122" s="216"/>
      <c r="AX122" s="216"/>
      <c r="AY122" s="216"/>
      <c r="AZ122" s="216"/>
      <c r="BA122" s="216"/>
      <c r="BB122" s="216"/>
      <c r="BC122" s="216"/>
      <c r="BD122" s="216"/>
      <c r="BE122" s="216"/>
      <c r="BF122" s="216"/>
      <c r="BG122" s="216"/>
    </row>
    <row r="123" spans="1:59" ht="12.75" x14ac:dyDescent="0.2">
      <c r="A123" s="218"/>
      <c r="B123" s="216"/>
      <c r="C123" s="216"/>
      <c r="D123" s="216"/>
      <c r="E123" s="216"/>
      <c r="F123" s="216"/>
      <c r="G123" s="216"/>
      <c r="H123" s="216"/>
      <c r="I123" s="216"/>
      <c r="J123" s="216"/>
      <c r="K123" s="216"/>
      <c r="L123" s="216"/>
      <c r="M123" s="216"/>
      <c r="N123" s="216"/>
      <c r="O123" s="216"/>
      <c r="P123" s="216"/>
      <c r="Q123" s="216"/>
      <c r="R123" s="216"/>
      <c r="S123" s="216"/>
      <c r="T123" s="216"/>
      <c r="U123" s="216"/>
      <c r="V123" s="216"/>
      <c r="W123" s="216"/>
      <c r="X123" s="216"/>
      <c r="Y123" s="216"/>
      <c r="Z123" s="216"/>
      <c r="AA123" s="216"/>
      <c r="AB123" s="216"/>
      <c r="AC123" s="216"/>
      <c r="AD123" s="216"/>
      <c r="AE123" s="216"/>
      <c r="AF123" s="216"/>
      <c r="AG123" s="216"/>
      <c r="AH123" s="216"/>
      <c r="AI123" s="216"/>
      <c r="AJ123" s="216"/>
      <c r="AK123" s="216"/>
      <c r="AL123" s="216"/>
      <c r="AM123" s="216"/>
      <c r="AN123" s="216"/>
      <c r="AO123" s="216"/>
      <c r="AP123" s="216"/>
      <c r="AQ123" s="216"/>
      <c r="AR123" s="216"/>
      <c r="AS123" s="216"/>
      <c r="AT123" s="216"/>
      <c r="AU123" s="216"/>
      <c r="AV123" s="216"/>
      <c r="AW123" s="216"/>
      <c r="AX123" s="216"/>
      <c r="AY123" s="216"/>
      <c r="AZ123" s="216"/>
      <c r="BA123" s="216"/>
      <c r="BB123" s="216"/>
      <c r="BC123" s="216"/>
      <c r="BD123" s="216"/>
      <c r="BE123" s="216"/>
      <c r="BF123" s="216"/>
      <c r="BG123" s="216"/>
    </row>
    <row r="124" spans="1:59" ht="12.75" x14ac:dyDescent="0.2">
      <c r="A124" s="217"/>
      <c r="B124" s="215"/>
      <c r="C124" s="215"/>
      <c r="D124" s="215"/>
      <c r="E124" s="215"/>
      <c r="F124" s="215"/>
      <c r="G124" s="215"/>
      <c r="H124" s="215"/>
      <c r="I124" s="215"/>
      <c r="J124" s="215"/>
      <c r="K124" s="215"/>
      <c r="L124" s="215"/>
      <c r="M124" s="215"/>
      <c r="N124" s="215"/>
      <c r="O124" s="215"/>
      <c r="P124" s="215"/>
      <c r="Q124" s="215"/>
      <c r="R124" s="215"/>
      <c r="S124" s="215"/>
      <c r="T124" s="215"/>
      <c r="U124" s="215"/>
      <c r="V124" s="215"/>
      <c r="W124" s="215"/>
      <c r="X124" s="215"/>
      <c r="Y124" s="215"/>
      <c r="Z124" s="215"/>
      <c r="AA124" s="215"/>
      <c r="AB124" s="215"/>
      <c r="AC124" s="215"/>
      <c r="AD124" s="215"/>
      <c r="AE124" s="215"/>
      <c r="AF124" s="215"/>
      <c r="AG124" s="215"/>
      <c r="AH124" s="215"/>
      <c r="AI124" s="215"/>
      <c r="AJ124" s="215"/>
      <c r="AK124" s="215"/>
      <c r="AL124" s="215"/>
      <c r="AM124" s="215"/>
      <c r="AN124" s="215"/>
      <c r="AO124" s="215"/>
      <c r="AP124" s="215"/>
      <c r="AQ124" s="215"/>
      <c r="AR124" s="215"/>
      <c r="AS124" s="215"/>
      <c r="AT124" s="215"/>
      <c r="AU124" s="215"/>
      <c r="AV124" s="215"/>
      <c r="AW124" s="215"/>
      <c r="AX124" s="215"/>
      <c r="AY124" s="215"/>
      <c r="AZ124" s="215"/>
      <c r="BA124" s="215"/>
      <c r="BB124" s="215"/>
      <c r="BC124" s="215"/>
      <c r="BD124" s="215"/>
      <c r="BE124" s="215"/>
      <c r="BF124" s="215"/>
      <c r="BG124" s="215"/>
    </row>
    <row r="125" spans="1:59" ht="12.75" x14ac:dyDescent="0.2">
      <c r="A125" s="217"/>
      <c r="B125" s="215"/>
      <c r="C125" s="215"/>
      <c r="D125" s="215"/>
      <c r="E125" s="215"/>
      <c r="F125" s="215"/>
      <c r="G125" s="215"/>
      <c r="H125" s="215"/>
      <c r="I125" s="215"/>
      <c r="J125" s="215"/>
      <c r="K125" s="215"/>
      <c r="L125" s="215"/>
      <c r="M125" s="215"/>
      <c r="N125" s="215"/>
      <c r="O125" s="215"/>
      <c r="P125" s="215"/>
      <c r="Q125" s="215"/>
      <c r="R125" s="215"/>
      <c r="S125" s="215"/>
      <c r="T125" s="215"/>
      <c r="U125" s="215"/>
      <c r="V125" s="215"/>
      <c r="W125" s="215"/>
      <c r="X125" s="215"/>
      <c r="Y125" s="215"/>
      <c r="Z125" s="215"/>
      <c r="AA125" s="215"/>
      <c r="AB125" s="215"/>
      <c r="AC125" s="215"/>
      <c r="AD125" s="215"/>
      <c r="AE125" s="215"/>
      <c r="AF125" s="215"/>
      <c r="AG125" s="215"/>
      <c r="AH125" s="215"/>
      <c r="AI125" s="215"/>
      <c r="AJ125" s="215"/>
      <c r="AK125" s="215"/>
      <c r="AL125" s="215"/>
      <c r="AM125" s="215"/>
      <c r="AN125" s="215"/>
      <c r="AO125" s="215"/>
      <c r="AP125" s="215"/>
      <c r="AQ125" s="215"/>
      <c r="AR125" s="215"/>
      <c r="AS125" s="215"/>
      <c r="AT125" s="215"/>
      <c r="AU125" s="215"/>
      <c r="AV125" s="215"/>
      <c r="AW125" s="215"/>
      <c r="AX125" s="215"/>
      <c r="AY125" s="215"/>
      <c r="AZ125" s="215"/>
      <c r="BA125" s="215"/>
      <c r="BB125" s="215"/>
      <c r="BC125" s="215"/>
      <c r="BD125" s="215"/>
      <c r="BE125" s="215"/>
      <c r="BF125" s="215"/>
      <c r="BG125" s="215"/>
    </row>
    <row r="126" spans="1:59" ht="12.75" x14ac:dyDescent="0.2">
      <c r="A126" s="217"/>
      <c r="B126" s="215"/>
      <c r="C126" s="215"/>
      <c r="D126" s="215"/>
      <c r="E126" s="215"/>
      <c r="F126" s="215"/>
      <c r="G126" s="215"/>
      <c r="H126" s="215"/>
      <c r="I126" s="215"/>
      <c r="J126" s="215"/>
      <c r="K126" s="215"/>
      <c r="L126" s="215"/>
      <c r="M126" s="215"/>
      <c r="N126" s="215"/>
      <c r="O126" s="215"/>
      <c r="P126" s="215"/>
      <c r="Q126" s="215"/>
      <c r="R126" s="215"/>
      <c r="S126" s="215"/>
      <c r="T126" s="215"/>
      <c r="U126" s="215"/>
      <c r="V126" s="215"/>
      <c r="W126" s="215"/>
      <c r="X126" s="215"/>
      <c r="Y126" s="215"/>
      <c r="Z126" s="215"/>
      <c r="AA126" s="215"/>
      <c r="AB126" s="215"/>
      <c r="AC126" s="215"/>
      <c r="AD126" s="215"/>
      <c r="AE126" s="215"/>
      <c r="AF126" s="215"/>
      <c r="AG126" s="215"/>
      <c r="AH126" s="215"/>
      <c r="AI126" s="215"/>
      <c r="AJ126" s="215"/>
      <c r="AK126" s="215"/>
      <c r="AL126" s="215"/>
      <c r="AM126" s="215"/>
      <c r="AN126" s="215"/>
      <c r="AO126" s="215"/>
      <c r="AP126" s="215"/>
      <c r="AQ126" s="215"/>
      <c r="AR126" s="215"/>
      <c r="AS126" s="215"/>
      <c r="AT126" s="215"/>
      <c r="AU126" s="215"/>
      <c r="AV126" s="215"/>
      <c r="AW126" s="215"/>
      <c r="AX126" s="215"/>
      <c r="AY126" s="215"/>
      <c r="AZ126" s="215"/>
      <c r="BA126" s="215"/>
      <c r="BB126" s="215"/>
      <c r="BC126" s="215"/>
      <c r="BD126" s="215"/>
      <c r="BE126" s="215"/>
      <c r="BF126" s="215"/>
      <c r="BG126" s="215"/>
    </row>
    <row r="127" spans="1:59" ht="12.75" x14ac:dyDescent="0.2">
      <c r="A127" s="217"/>
      <c r="B127" s="215"/>
      <c r="C127" s="215"/>
      <c r="D127" s="215"/>
      <c r="E127" s="215"/>
      <c r="F127" s="215"/>
      <c r="G127" s="215"/>
      <c r="H127" s="215"/>
      <c r="I127" s="215"/>
      <c r="J127" s="215"/>
      <c r="K127" s="215"/>
      <c r="L127" s="215"/>
      <c r="M127" s="215"/>
      <c r="N127" s="215"/>
      <c r="O127" s="215"/>
      <c r="P127" s="215"/>
      <c r="Q127" s="215"/>
      <c r="R127" s="215"/>
      <c r="S127" s="215"/>
      <c r="T127" s="215"/>
      <c r="U127" s="215"/>
      <c r="V127" s="215"/>
      <c r="W127" s="215"/>
      <c r="X127" s="215"/>
      <c r="Y127" s="215"/>
      <c r="Z127" s="215"/>
      <c r="AA127" s="215"/>
      <c r="AB127" s="215"/>
      <c r="AC127" s="215"/>
      <c r="AD127" s="215"/>
      <c r="AE127" s="215"/>
      <c r="AF127" s="215"/>
      <c r="AG127" s="215"/>
      <c r="AH127" s="215"/>
      <c r="AI127" s="215"/>
      <c r="AJ127" s="215"/>
      <c r="AK127" s="215"/>
      <c r="AL127" s="215"/>
      <c r="AM127" s="215"/>
      <c r="AN127" s="215"/>
      <c r="AO127" s="215"/>
      <c r="AP127" s="215"/>
      <c r="AQ127" s="215"/>
      <c r="AR127" s="215"/>
      <c r="AS127" s="215"/>
      <c r="AT127" s="215"/>
      <c r="AU127" s="215"/>
      <c r="AV127" s="215"/>
      <c r="AW127" s="215"/>
      <c r="AX127" s="215"/>
      <c r="AY127" s="215"/>
      <c r="AZ127" s="215"/>
      <c r="BA127" s="215"/>
      <c r="BB127" s="215"/>
      <c r="BC127" s="215"/>
      <c r="BD127" s="215"/>
      <c r="BE127" s="215"/>
      <c r="BF127" s="215"/>
      <c r="BG127" s="215"/>
    </row>
    <row r="128" spans="1:59" ht="12.75" x14ac:dyDescent="0.2">
      <c r="A128" s="217"/>
      <c r="B128" s="215"/>
      <c r="C128" s="215"/>
      <c r="D128" s="215"/>
      <c r="E128" s="215"/>
      <c r="F128" s="215"/>
      <c r="G128" s="215"/>
      <c r="H128" s="215"/>
      <c r="I128" s="215"/>
      <c r="J128" s="215"/>
      <c r="K128" s="215"/>
      <c r="L128" s="215"/>
      <c r="M128" s="215"/>
      <c r="N128" s="215"/>
      <c r="O128" s="215"/>
      <c r="P128" s="215"/>
      <c r="Q128" s="215"/>
      <c r="R128" s="215"/>
      <c r="S128" s="215"/>
      <c r="T128" s="215"/>
      <c r="U128" s="215"/>
      <c r="V128" s="215"/>
      <c r="W128" s="215"/>
      <c r="X128" s="215"/>
      <c r="Y128" s="215"/>
      <c r="Z128" s="215"/>
      <c r="AA128" s="215"/>
      <c r="AB128" s="215"/>
      <c r="AC128" s="215"/>
      <c r="AD128" s="215"/>
      <c r="AE128" s="215"/>
      <c r="AF128" s="215"/>
      <c r="AG128" s="215"/>
      <c r="AH128" s="215"/>
      <c r="AI128" s="215"/>
      <c r="AJ128" s="215"/>
      <c r="AK128" s="215"/>
      <c r="AL128" s="215"/>
      <c r="AM128" s="215"/>
      <c r="AN128" s="215"/>
      <c r="AO128" s="215"/>
      <c r="AP128" s="215"/>
      <c r="AQ128" s="215"/>
      <c r="AR128" s="215"/>
      <c r="AS128" s="215"/>
      <c r="AT128" s="215"/>
      <c r="AU128" s="215"/>
      <c r="AV128" s="215"/>
      <c r="AW128" s="215"/>
      <c r="AX128" s="215"/>
      <c r="AY128" s="215"/>
      <c r="AZ128" s="215"/>
      <c r="BA128" s="215"/>
      <c r="BB128" s="215"/>
      <c r="BC128" s="215"/>
      <c r="BD128" s="215"/>
      <c r="BE128" s="215"/>
      <c r="BF128" s="215"/>
      <c r="BG128" s="215"/>
    </row>
    <row r="129" spans="1:59" ht="12.75" x14ac:dyDescent="0.2">
      <c r="A129" s="217"/>
      <c r="B129" s="215"/>
      <c r="C129" s="215"/>
      <c r="D129" s="215"/>
      <c r="E129" s="215"/>
      <c r="F129" s="215"/>
      <c r="G129" s="215"/>
      <c r="H129" s="215"/>
      <c r="I129" s="215"/>
      <c r="J129" s="215"/>
      <c r="K129" s="215"/>
      <c r="L129" s="215"/>
      <c r="M129" s="215"/>
      <c r="N129" s="215"/>
      <c r="O129" s="215"/>
      <c r="P129" s="215"/>
      <c r="Q129" s="215"/>
      <c r="R129" s="215"/>
      <c r="S129" s="215"/>
      <c r="T129" s="215"/>
      <c r="U129" s="215"/>
      <c r="V129" s="215"/>
      <c r="W129" s="215"/>
      <c r="X129" s="215"/>
      <c r="Y129" s="215"/>
      <c r="Z129" s="215"/>
      <c r="AA129" s="215"/>
      <c r="AB129" s="215"/>
      <c r="AC129" s="215"/>
      <c r="AD129" s="215"/>
      <c r="AE129" s="215"/>
      <c r="AF129" s="215"/>
      <c r="AG129" s="215"/>
      <c r="AH129" s="215"/>
      <c r="AI129" s="215"/>
      <c r="AJ129" s="215"/>
      <c r="AK129" s="215"/>
      <c r="AL129" s="215"/>
      <c r="AM129" s="215"/>
      <c r="AN129" s="215"/>
      <c r="AO129" s="215"/>
      <c r="AP129" s="215"/>
      <c r="AQ129" s="215"/>
      <c r="AR129" s="215"/>
      <c r="AS129" s="215"/>
      <c r="AT129" s="215"/>
      <c r="AU129" s="215"/>
      <c r="AV129" s="215"/>
      <c r="AW129" s="215"/>
      <c r="AX129" s="215"/>
      <c r="AY129" s="215"/>
      <c r="AZ129" s="215"/>
      <c r="BA129" s="215"/>
      <c r="BB129" s="215"/>
      <c r="BC129" s="215"/>
      <c r="BD129" s="215"/>
      <c r="BE129" s="215"/>
      <c r="BF129" s="215"/>
      <c r="BG129" s="215"/>
    </row>
    <row r="130" spans="1:59" ht="12.75" x14ac:dyDescent="0.2">
      <c r="A130" s="217"/>
      <c r="B130" s="215"/>
      <c r="C130" s="215"/>
      <c r="D130" s="215"/>
      <c r="E130" s="215"/>
      <c r="F130" s="215"/>
      <c r="G130" s="215"/>
      <c r="H130" s="215"/>
      <c r="I130" s="215"/>
      <c r="J130" s="215"/>
      <c r="K130" s="215"/>
      <c r="L130" s="215"/>
      <c r="M130" s="215"/>
      <c r="N130" s="215"/>
      <c r="O130" s="215"/>
      <c r="P130" s="215"/>
      <c r="Q130" s="215"/>
      <c r="R130" s="215"/>
      <c r="S130" s="215"/>
      <c r="T130" s="215"/>
      <c r="U130" s="215"/>
      <c r="V130" s="215"/>
      <c r="W130" s="215"/>
      <c r="X130" s="215"/>
      <c r="Y130" s="215"/>
      <c r="Z130" s="215"/>
      <c r="AA130" s="215"/>
      <c r="AB130" s="215"/>
      <c r="AC130" s="215"/>
      <c r="AD130" s="215"/>
      <c r="AE130" s="215"/>
      <c r="AF130" s="215"/>
      <c r="AG130" s="215"/>
      <c r="AH130" s="215"/>
      <c r="AI130" s="215"/>
      <c r="AJ130" s="215"/>
      <c r="AK130" s="215"/>
      <c r="AL130" s="215"/>
      <c r="AM130" s="215"/>
      <c r="AN130" s="215"/>
      <c r="AO130" s="215"/>
      <c r="AP130" s="215"/>
      <c r="AQ130" s="215"/>
      <c r="AR130" s="215"/>
      <c r="AS130" s="215"/>
      <c r="AT130" s="215"/>
      <c r="AU130" s="215"/>
      <c r="AV130" s="215"/>
      <c r="AW130" s="215"/>
      <c r="AX130" s="215"/>
      <c r="AY130" s="215"/>
      <c r="AZ130" s="215"/>
      <c r="BA130" s="215"/>
      <c r="BB130" s="215"/>
      <c r="BC130" s="215"/>
      <c r="BD130" s="215"/>
      <c r="BE130" s="215"/>
      <c r="BF130" s="215"/>
      <c r="BG130" s="215"/>
    </row>
    <row r="131" spans="1:59" ht="12.75" x14ac:dyDescent="0.2">
      <c r="A131" s="217"/>
      <c r="B131" s="215"/>
      <c r="C131" s="215"/>
      <c r="D131" s="215"/>
      <c r="E131" s="215"/>
      <c r="F131" s="215"/>
      <c r="G131" s="215"/>
      <c r="H131" s="215"/>
      <c r="I131" s="215"/>
      <c r="J131" s="215"/>
      <c r="K131" s="215"/>
      <c r="L131" s="215"/>
      <c r="M131" s="215"/>
      <c r="N131" s="215"/>
      <c r="O131" s="215"/>
      <c r="P131" s="215"/>
      <c r="Q131" s="215"/>
      <c r="R131" s="215"/>
      <c r="S131" s="215"/>
      <c r="T131" s="215"/>
      <c r="U131" s="215"/>
      <c r="V131" s="215"/>
      <c r="W131" s="215"/>
      <c r="X131" s="215"/>
      <c r="Y131" s="215"/>
      <c r="Z131" s="215"/>
      <c r="AA131" s="215"/>
      <c r="AB131" s="215"/>
      <c r="AC131" s="215"/>
      <c r="AD131" s="215"/>
      <c r="AE131" s="215"/>
      <c r="AF131" s="215"/>
      <c r="AG131" s="215"/>
      <c r="AH131" s="215"/>
      <c r="AI131" s="215"/>
      <c r="AJ131" s="215"/>
      <c r="AK131" s="215"/>
      <c r="AL131" s="215"/>
      <c r="AM131" s="215"/>
      <c r="AN131" s="215"/>
      <c r="AO131" s="215"/>
      <c r="AP131" s="215"/>
      <c r="AQ131" s="215"/>
      <c r="AR131" s="215"/>
      <c r="AS131" s="215"/>
      <c r="AT131" s="215"/>
      <c r="AU131" s="215"/>
      <c r="AV131" s="215"/>
      <c r="AW131" s="215"/>
      <c r="AX131" s="215"/>
      <c r="AY131" s="215"/>
      <c r="AZ131" s="215"/>
      <c r="BA131" s="215"/>
      <c r="BB131" s="215"/>
      <c r="BC131" s="215"/>
      <c r="BD131" s="215"/>
      <c r="BE131" s="215"/>
      <c r="BF131" s="215"/>
      <c r="BG131" s="215"/>
    </row>
    <row r="132" spans="1:59" ht="12.75" x14ac:dyDescent="0.2">
      <c r="A132" s="217"/>
      <c r="B132" s="215"/>
      <c r="C132" s="215"/>
      <c r="D132" s="215"/>
      <c r="E132" s="215"/>
      <c r="F132" s="215"/>
      <c r="G132" s="215"/>
      <c r="H132" s="215"/>
      <c r="I132" s="215"/>
      <c r="J132" s="215"/>
      <c r="K132" s="215"/>
      <c r="L132" s="215"/>
      <c r="M132" s="215"/>
      <c r="N132" s="215"/>
      <c r="O132" s="215"/>
      <c r="P132" s="215"/>
      <c r="Q132" s="215"/>
      <c r="R132" s="215"/>
      <c r="S132" s="215"/>
      <c r="T132" s="215"/>
      <c r="U132" s="215"/>
      <c r="V132" s="215"/>
      <c r="W132" s="215"/>
      <c r="X132" s="215"/>
      <c r="Y132" s="215"/>
      <c r="Z132" s="215"/>
      <c r="AA132" s="215"/>
      <c r="AB132" s="215"/>
      <c r="AC132" s="215"/>
      <c r="AD132" s="215"/>
      <c r="AE132" s="215"/>
      <c r="AF132" s="215"/>
      <c r="AG132" s="215"/>
      <c r="AH132" s="215"/>
      <c r="AI132" s="215"/>
      <c r="AJ132" s="215"/>
      <c r="AK132" s="215"/>
      <c r="AL132" s="215"/>
      <c r="AM132" s="215"/>
      <c r="AN132" s="215"/>
      <c r="AO132" s="215"/>
      <c r="AP132" s="215"/>
      <c r="AQ132" s="215"/>
      <c r="AR132" s="215"/>
      <c r="AS132" s="215"/>
      <c r="AT132" s="215"/>
      <c r="AU132" s="215"/>
      <c r="AV132" s="215"/>
      <c r="AW132" s="215"/>
      <c r="AX132" s="215"/>
      <c r="AY132" s="215"/>
      <c r="AZ132" s="215"/>
      <c r="BA132" s="215"/>
      <c r="BB132" s="215"/>
      <c r="BC132" s="215"/>
      <c r="BD132" s="215"/>
      <c r="BE132" s="215"/>
      <c r="BF132" s="215"/>
      <c r="BG132" s="215"/>
    </row>
    <row r="133" spans="1:59" ht="12.75" x14ac:dyDescent="0.2">
      <c r="A133" s="217"/>
      <c r="B133" s="215"/>
      <c r="C133" s="215"/>
      <c r="D133" s="215"/>
      <c r="E133" s="215"/>
      <c r="F133" s="215"/>
      <c r="G133" s="215"/>
      <c r="H133" s="215"/>
      <c r="I133" s="215"/>
      <c r="J133" s="215"/>
      <c r="K133" s="215"/>
      <c r="L133" s="215"/>
      <c r="M133" s="215"/>
      <c r="N133" s="215"/>
      <c r="O133" s="215"/>
      <c r="P133" s="215"/>
      <c r="Q133" s="215"/>
      <c r="R133" s="215"/>
      <c r="S133" s="215"/>
      <c r="T133" s="215"/>
      <c r="U133" s="215"/>
      <c r="V133" s="215"/>
      <c r="W133" s="215"/>
      <c r="X133" s="215"/>
      <c r="Y133" s="215"/>
      <c r="Z133" s="215"/>
      <c r="AA133" s="215"/>
      <c r="AB133" s="215"/>
      <c r="AC133" s="215"/>
      <c r="AD133" s="215"/>
      <c r="AE133" s="215"/>
      <c r="AF133" s="215"/>
      <c r="AG133" s="215"/>
      <c r="AH133" s="215"/>
      <c r="AI133" s="215"/>
      <c r="AJ133" s="215"/>
      <c r="AK133" s="215"/>
      <c r="AL133" s="215"/>
      <c r="AM133" s="215"/>
      <c r="AN133" s="215"/>
      <c r="AO133" s="215"/>
      <c r="AP133" s="215"/>
      <c r="AQ133" s="215"/>
      <c r="AR133" s="215"/>
      <c r="AS133" s="215"/>
      <c r="AT133" s="215"/>
      <c r="AU133" s="215"/>
      <c r="AV133" s="215"/>
      <c r="AW133" s="215"/>
      <c r="AX133" s="215"/>
      <c r="AY133" s="215"/>
      <c r="AZ133" s="215"/>
      <c r="BA133" s="215"/>
      <c r="BB133" s="215"/>
      <c r="BC133" s="215"/>
      <c r="BD133" s="215"/>
      <c r="BE133" s="215"/>
      <c r="BF133" s="215"/>
      <c r="BG133" s="215"/>
    </row>
    <row r="134" spans="1:59" ht="12.75" x14ac:dyDescent="0.2">
      <c r="A134" s="217"/>
      <c r="B134" s="215"/>
      <c r="C134" s="215"/>
      <c r="D134" s="215"/>
      <c r="E134" s="215"/>
      <c r="F134" s="215"/>
      <c r="G134" s="215"/>
      <c r="H134" s="215"/>
      <c r="I134" s="215"/>
      <c r="J134" s="215"/>
      <c r="K134" s="215"/>
      <c r="L134" s="215"/>
      <c r="M134" s="215"/>
      <c r="N134" s="215"/>
      <c r="O134" s="215"/>
      <c r="P134" s="215"/>
      <c r="Q134" s="215"/>
      <c r="R134" s="215"/>
      <c r="S134" s="215"/>
      <c r="T134" s="215"/>
      <c r="U134" s="215"/>
      <c r="V134" s="215"/>
      <c r="W134" s="215"/>
      <c r="X134" s="215"/>
      <c r="Y134" s="215"/>
      <c r="Z134" s="215"/>
      <c r="AA134" s="215"/>
      <c r="AB134" s="215"/>
      <c r="AC134" s="215"/>
      <c r="AD134" s="215"/>
      <c r="AE134" s="215"/>
      <c r="AF134" s="215"/>
      <c r="AG134" s="215"/>
      <c r="AH134" s="215"/>
      <c r="AI134" s="215"/>
      <c r="AJ134" s="215"/>
      <c r="AK134" s="215"/>
      <c r="AL134" s="215"/>
      <c r="AM134" s="215"/>
      <c r="AN134" s="215"/>
      <c r="AO134" s="215"/>
      <c r="AP134" s="215"/>
      <c r="AQ134" s="215"/>
      <c r="AR134" s="215"/>
      <c r="AS134" s="215"/>
      <c r="AT134" s="215"/>
      <c r="AU134" s="215"/>
      <c r="AV134" s="215"/>
      <c r="AW134" s="215"/>
      <c r="AX134" s="215"/>
      <c r="AY134" s="215"/>
      <c r="AZ134" s="215"/>
      <c r="BA134" s="215"/>
      <c r="BB134" s="215"/>
      <c r="BC134" s="215"/>
      <c r="BD134" s="215"/>
      <c r="BE134" s="215"/>
      <c r="BF134" s="215"/>
      <c r="BG134" s="215"/>
    </row>
    <row r="135" spans="1:59" ht="12.75" x14ac:dyDescent="0.2">
      <c r="A135" s="217"/>
      <c r="B135" s="215"/>
      <c r="C135" s="215"/>
      <c r="D135" s="215"/>
      <c r="E135" s="215"/>
      <c r="F135" s="215"/>
      <c r="G135" s="215"/>
      <c r="H135" s="215"/>
      <c r="I135" s="215"/>
      <c r="J135" s="215"/>
      <c r="K135" s="215"/>
      <c r="L135" s="215"/>
      <c r="M135" s="215"/>
      <c r="N135" s="215"/>
      <c r="O135" s="215"/>
      <c r="P135" s="215"/>
      <c r="Q135" s="215"/>
      <c r="R135" s="215"/>
      <c r="S135" s="215"/>
      <c r="T135" s="215"/>
      <c r="U135" s="215"/>
      <c r="V135" s="215"/>
      <c r="W135" s="215"/>
      <c r="X135" s="215"/>
      <c r="Y135" s="215"/>
      <c r="Z135" s="215"/>
      <c r="AA135" s="215"/>
      <c r="AB135" s="215"/>
      <c r="AC135" s="215"/>
      <c r="AD135" s="215"/>
      <c r="AE135" s="215"/>
      <c r="AF135" s="215"/>
      <c r="AG135" s="215"/>
      <c r="AH135" s="215"/>
      <c r="AI135" s="215"/>
      <c r="AJ135" s="215"/>
      <c r="AK135" s="215"/>
      <c r="AL135" s="215"/>
      <c r="AM135" s="215"/>
      <c r="AN135" s="215"/>
      <c r="AO135" s="215"/>
      <c r="AP135" s="215"/>
      <c r="AQ135" s="215"/>
      <c r="AR135" s="215"/>
      <c r="AS135" s="215"/>
      <c r="AT135" s="215"/>
      <c r="AU135" s="215"/>
      <c r="AV135" s="215"/>
      <c r="AW135" s="215"/>
      <c r="AX135" s="215"/>
      <c r="AY135" s="215"/>
      <c r="AZ135" s="215"/>
      <c r="BA135" s="215"/>
      <c r="BB135" s="215"/>
      <c r="BC135" s="215"/>
      <c r="BD135" s="215"/>
      <c r="BE135" s="215"/>
      <c r="BF135" s="215"/>
      <c r="BG135" s="215"/>
    </row>
    <row r="136" spans="1:59" ht="12.75" x14ac:dyDescent="0.2">
      <c r="A136" s="217"/>
      <c r="B136" s="215"/>
      <c r="C136" s="215"/>
      <c r="D136" s="215"/>
      <c r="E136" s="215"/>
      <c r="F136" s="215"/>
      <c r="G136" s="215"/>
      <c r="H136" s="215"/>
      <c r="I136" s="215"/>
      <c r="J136" s="215"/>
      <c r="K136" s="215"/>
      <c r="L136" s="215"/>
      <c r="M136" s="215"/>
      <c r="N136" s="215"/>
      <c r="O136" s="215"/>
      <c r="P136" s="215"/>
      <c r="Q136" s="215"/>
      <c r="R136" s="215"/>
      <c r="S136" s="215"/>
      <c r="T136" s="215"/>
      <c r="U136" s="215"/>
      <c r="V136" s="215"/>
      <c r="W136" s="215"/>
      <c r="X136" s="215"/>
      <c r="Y136" s="215"/>
      <c r="Z136" s="215"/>
      <c r="AA136" s="215"/>
      <c r="AB136" s="215"/>
      <c r="AC136" s="215"/>
      <c r="AD136" s="215"/>
      <c r="AE136" s="215"/>
      <c r="AF136" s="215"/>
      <c r="AG136" s="215"/>
      <c r="AH136" s="215"/>
      <c r="AI136" s="215"/>
      <c r="AJ136" s="215"/>
      <c r="AK136" s="215"/>
      <c r="AL136" s="215"/>
      <c r="AM136" s="215"/>
      <c r="AN136" s="215"/>
      <c r="AO136" s="215"/>
      <c r="AP136" s="215"/>
      <c r="AQ136" s="215"/>
      <c r="AR136" s="215"/>
      <c r="AS136" s="215"/>
      <c r="AT136" s="215"/>
      <c r="AU136" s="215"/>
      <c r="AV136" s="215"/>
      <c r="AW136" s="215"/>
      <c r="AX136" s="215"/>
      <c r="AY136" s="215"/>
      <c r="AZ136" s="215"/>
      <c r="BA136" s="215"/>
      <c r="BB136" s="215"/>
      <c r="BC136" s="215"/>
      <c r="BD136" s="215"/>
      <c r="BE136" s="215"/>
      <c r="BF136" s="215"/>
      <c r="BG136" s="215"/>
    </row>
    <row r="137" spans="1:59" ht="12.75" x14ac:dyDescent="0.2">
      <c r="A137" s="217"/>
      <c r="B137" s="215"/>
      <c r="C137" s="215"/>
      <c r="D137" s="215"/>
      <c r="E137" s="215"/>
      <c r="F137" s="215"/>
      <c r="G137" s="215"/>
      <c r="H137" s="215"/>
      <c r="I137" s="215"/>
      <c r="J137" s="215"/>
      <c r="K137" s="215"/>
      <c r="L137" s="215"/>
      <c r="M137" s="215"/>
      <c r="N137" s="215"/>
      <c r="O137" s="215"/>
      <c r="P137" s="215"/>
      <c r="Q137" s="215"/>
      <c r="R137" s="215"/>
      <c r="S137" s="215"/>
      <c r="T137" s="215"/>
      <c r="U137" s="215"/>
      <c r="V137" s="215"/>
      <c r="W137" s="215"/>
      <c r="X137" s="215"/>
      <c r="Y137" s="215"/>
      <c r="Z137" s="215"/>
      <c r="AA137" s="215"/>
      <c r="AB137" s="215"/>
      <c r="AC137" s="215"/>
      <c r="AD137" s="215"/>
      <c r="AE137" s="215"/>
      <c r="AF137" s="215"/>
      <c r="AG137" s="215"/>
      <c r="AH137" s="215"/>
      <c r="AI137" s="215"/>
      <c r="AJ137" s="215"/>
      <c r="AK137" s="215"/>
      <c r="AL137" s="215"/>
      <c r="AM137" s="215"/>
      <c r="AN137" s="215"/>
      <c r="AO137" s="215"/>
      <c r="AP137" s="215"/>
      <c r="AQ137" s="215"/>
      <c r="AR137" s="215"/>
      <c r="AS137" s="215"/>
      <c r="AT137" s="215"/>
      <c r="AU137" s="215"/>
      <c r="AV137" s="215"/>
      <c r="AW137" s="215"/>
      <c r="AX137" s="215"/>
      <c r="AY137" s="215"/>
      <c r="AZ137" s="215"/>
      <c r="BA137" s="215"/>
      <c r="BB137" s="215"/>
      <c r="BC137" s="215"/>
      <c r="BD137" s="215"/>
      <c r="BE137" s="215"/>
      <c r="BF137" s="215"/>
      <c r="BG137" s="215"/>
    </row>
    <row r="138" spans="1:59" ht="12.75" x14ac:dyDescent="0.2">
      <c r="A138" s="217"/>
      <c r="B138" s="215"/>
      <c r="C138" s="215"/>
      <c r="D138" s="215"/>
      <c r="E138" s="215"/>
      <c r="F138" s="215"/>
      <c r="G138" s="215"/>
      <c r="H138" s="215"/>
      <c r="I138" s="215"/>
      <c r="J138" s="215"/>
      <c r="K138" s="215"/>
      <c r="L138" s="215"/>
      <c r="M138" s="215"/>
      <c r="N138" s="215"/>
      <c r="O138" s="215"/>
      <c r="P138" s="215"/>
      <c r="Q138" s="215"/>
      <c r="R138" s="215"/>
      <c r="S138" s="215"/>
      <c r="T138" s="215"/>
      <c r="U138" s="215"/>
      <c r="V138" s="215"/>
      <c r="W138" s="215"/>
      <c r="X138" s="215"/>
      <c r="Y138" s="215"/>
      <c r="Z138" s="215"/>
      <c r="AA138" s="215"/>
      <c r="AB138" s="215"/>
      <c r="AC138" s="215"/>
      <c r="AD138" s="215"/>
      <c r="AE138" s="215"/>
      <c r="AF138" s="215"/>
      <c r="AG138" s="215"/>
      <c r="AH138" s="215"/>
      <c r="AI138" s="215"/>
      <c r="AJ138" s="215"/>
      <c r="AK138" s="215"/>
      <c r="AL138" s="215"/>
      <c r="AM138" s="215"/>
      <c r="AN138" s="215"/>
      <c r="AO138" s="215"/>
      <c r="AP138" s="215"/>
      <c r="AQ138" s="215"/>
      <c r="AR138" s="215"/>
      <c r="AS138" s="215"/>
      <c r="AT138" s="215"/>
      <c r="AU138" s="215"/>
      <c r="AV138" s="215"/>
      <c r="AW138" s="215"/>
      <c r="AX138" s="215"/>
      <c r="AY138" s="215"/>
      <c r="AZ138" s="215"/>
      <c r="BA138" s="215"/>
      <c r="BB138" s="215"/>
      <c r="BC138" s="215"/>
      <c r="BD138" s="215"/>
      <c r="BE138" s="215"/>
      <c r="BF138" s="215"/>
      <c r="BG138" s="215"/>
    </row>
    <row r="139" spans="1:59" ht="12.75" x14ac:dyDescent="0.2">
      <c r="A139" s="217"/>
      <c r="B139" s="215"/>
      <c r="C139" s="215"/>
      <c r="D139" s="215"/>
      <c r="E139" s="215"/>
      <c r="F139" s="215"/>
      <c r="G139" s="215"/>
      <c r="H139" s="215"/>
      <c r="I139" s="215"/>
      <c r="J139" s="215"/>
      <c r="K139" s="215"/>
      <c r="L139" s="215"/>
      <c r="M139" s="215"/>
      <c r="N139" s="215"/>
      <c r="O139" s="215"/>
      <c r="P139" s="215"/>
      <c r="Q139" s="215"/>
      <c r="R139" s="215"/>
      <c r="S139" s="215"/>
      <c r="T139" s="215"/>
      <c r="U139" s="215"/>
      <c r="V139" s="215"/>
      <c r="W139" s="215"/>
      <c r="X139" s="215"/>
      <c r="Y139" s="215"/>
      <c r="Z139" s="215"/>
      <c r="AA139" s="215"/>
      <c r="AB139" s="215"/>
      <c r="AC139" s="215"/>
      <c r="AD139" s="215"/>
      <c r="AE139" s="215"/>
      <c r="AF139" s="215"/>
      <c r="AG139" s="215"/>
      <c r="AH139" s="215"/>
      <c r="AI139" s="215"/>
      <c r="AJ139" s="215"/>
      <c r="AK139" s="215"/>
      <c r="AL139" s="215"/>
      <c r="AM139" s="215"/>
      <c r="AN139" s="215"/>
      <c r="AO139" s="215"/>
      <c r="AP139" s="215"/>
      <c r="AQ139" s="215"/>
      <c r="AR139" s="215"/>
      <c r="AS139" s="215"/>
      <c r="AT139" s="215"/>
      <c r="AU139" s="215"/>
      <c r="AV139" s="215"/>
      <c r="AW139" s="215"/>
      <c r="AX139" s="215"/>
      <c r="AY139" s="215"/>
      <c r="AZ139" s="215"/>
      <c r="BA139" s="215"/>
      <c r="BB139" s="215"/>
      <c r="BC139" s="215"/>
      <c r="BD139" s="215"/>
      <c r="BE139" s="215"/>
      <c r="BF139" s="215"/>
      <c r="BG139" s="215"/>
    </row>
    <row r="140" spans="1:59" ht="12.75" x14ac:dyDescent="0.2">
      <c r="A140" s="217"/>
      <c r="B140" s="215"/>
      <c r="C140" s="215"/>
      <c r="D140" s="215"/>
      <c r="E140" s="215"/>
      <c r="F140" s="215"/>
      <c r="G140" s="215"/>
      <c r="H140" s="215"/>
      <c r="I140" s="215"/>
      <c r="J140" s="215"/>
      <c r="K140" s="215"/>
      <c r="L140" s="215"/>
      <c r="M140" s="215"/>
      <c r="N140" s="215"/>
      <c r="O140" s="215"/>
      <c r="P140" s="215"/>
      <c r="Q140" s="215"/>
      <c r="R140" s="215"/>
      <c r="S140" s="215"/>
      <c r="T140" s="215"/>
      <c r="U140" s="215"/>
      <c r="V140" s="215"/>
      <c r="W140" s="215"/>
      <c r="X140" s="215"/>
      <c r="Y140" s="215"/>
      <c r="Z140" s="215"/>
      <c r="AA140" s="215"/>
      <c r="AB140" s="215"/>
      <c r="AC140" s="215"/>
      <c r="AD140" s="215"/>
      <c r="AE140" s="215"/>
      <c r="AF140" s="215"/>
      <c r="AG140" s="215"/>
      <c r="AH140" s="215"/>
      <c r="AI140" s="215"/>
      <c r="AJ140" s="215"/>
      <c r="AK140" s="215"/>
      <c r="AL140" s="215"/>
      <c r="AM140" s="215"/>
      <c r="AN140" s="215"/>
      <c r="AO140" s="215"/>
      <c r="AP140" s="215"/>
      <c r="AQ140" s="215"/>
      <c r="AR140" s="215"/>
      <c r="AS140" s="215"/>
      <c r="AT140" s="215"/>
      <c r="AU140" s="215"/>
      <c r="AV140" s="215"/>
      <c r="AW140" s="215"/>
      <c r="AX140" s="215"/>
      <c r="AY140" s="215"/>
      <c r="AZ140" s="215"/>
      <c r="BA140" s="215"/>
      <c r="BB140" s="215"/>
      <c r="BC140" s="215"/>
      <c r="BD140" s="215"/>
      <c r="BE140" s="215"/>
      <c r="BF140" s="215"/>
      <c r="BG140" s="215"/>
    </row>
    <row r="141" spans="1:59" ht="12.75" x14ac:dyDescent="0.2">
      <c r="A141" s="217"/>
      <c r="B141" s="215"/>
      <c r="C141" s="215"/>
      <c r="D141" s="215"/>
      <c r="E141" s="215"/>
      <c r="F141" s="215"/>
      <c r="G141" s="215"/>
      <c r="H141" s="215"/>
      <c r="I141" s="215"/>
      <c r="J141" s="215"/>
      <c r="K141" s="215"/>
      <c r="L141" s="215"/>
      <c r="M141" s="215"/>
      <c r="N141" s="215"/>
      <c r="O141" s="215"/>
      <c r="P141" s="215"/>
      <c r="Q141" s="215"/>
      <c r="R141" s="215"/>
      <c r="S141" s="215"/>
      <c r="T141" s="215"/>
      <c r="U141" s="215"/>
      <c r="V141" s="215"/>
      <c r="W141" s="215"/>
      <c r="X141" s="215"/>
      <c r="Y141" s="215"/>
      <c r="Z141" s="215"/>
      <c r="AA141" s="215"/>
      <c r="AB141" s="215"/>
      <c r="AC141" s="215"/>
      <c r="AD141" s="215"/>
      <c r="AE141" s="215"/>
      <c r="AF141" s="215"/>
      <c r="AG141" s="215"/>
      <c r="AH141" s="215"/>
      <c r="AI141" s="215"/>
      <c r="AJ141" s="215"/>
      <c r="AK141" s="215"/>
      <c r="AL141" s="215"/>
      <c r="AM141" s="215"/>
      <c r="AN141" s="215"/>
      <c r="AO141" s="215"/>
      <c r="AP141" s="215"/>
      <c r="AQ141" s="215"/>
      <c r="AR141" s="215"/>
      <c r="AS141" s="215"/>
      <c r="AT141" s="215"/>
      <c r="AU141" s="215"/>
      <c r="AV141" s="215"/>
      <c r="AW141" s="215"/>
      <c r="AX141" s="215"/>
      <c r="AY141" s="215"/>
      <c r="AZ141" s="215"/>
      <c r="BA141" s="215"/>
      <c r="BB141" s="215"/>
      <c r="BC141" s="215"/>
      <c r="BD141" s="215"/>
      <c r="BE141" s="215"/>
      <c r="BF141" s="215"/>
      <c r="BG141" s="215"/>
    </row>
    <row r="142" spans="1:59" ht="12.75" x14ac:dyDescent="0.2">
      <c r="A142" s="217"/>
      <c r="B142" s="215"/>
      <c r="C142" s="215"/>
      <c r="D142" s="215"/>
      <c r="E142" s="215"/>
      <c r="F142" s="215"/>
      <c r="G142" s="215"/>
      <c r="H142" s="215"/>
      <c r="I142" s="215"/>
      <c r="J142" s="215"/>
      <c r="K142" s="215"/>
      <c r="L142" s="215"/>
      <c r="M142" s="215"/>
      <c r="N142" s="215"/>
      <c r="O142" s="215"/>
      <c r="P142" s="215"/>
      <c r="Q142" s="215"/>
      <c r="R142" s="215"/>
      <c r="S142" s="215"/>
      <c r="T142" s="215"/>
      <c r="U142" s="215"/>
      <c r="V142" s="215"/>
      <c r="W142" s="215"/>
      <c r="X142" s="215"/>
      <c r="Y142" s="215"/>
      <c r="Z142" s="215"/>
      <c r="AA142" s="215"/>
      <c r="AB142" s="215"/>
      <c r="AC142" s="215"/>
      <c r="AD142" s="215"/>
      <c r="AE142" s="215"/>
      <c r="AF142" s="215"/>
      <c r="AG142" s="215"/>
      <c r="AH142" s="215"/>
      <c r="AI142" s="215"/>
      <c r="AJ142" s="215"/>
      <c r="AK142" s="215"/>
      <c r="AL142" s="215"/>
      <c r="AM142" s="215"/>
      <c r="AN142" s="215"/>
      <c r="AO142" s="215"/>
      <c r="AP142" s="215"/>
      <c r="AQ142" s="215"/>
      <c r="AR142" s="215"/>
      <c r="AS142" s="215"/>
      <c r="AT142" s="215"/>
      <c r="AU142" s="215"/>
      <c r="AV142" s="215"/>
      <c r="AW142" s="215"/>
      <c r="AX142" s="215"/>
      <c r="AY142" s="215"/>
      <c r="AZ142" s="215"/>
      <c r="BA142" s="215"/>
      <c r="BB142" s="215"/>
      <c r="BC142" s="215"/>
      <c r="BD142" s="215"/>
      <c r="BE142" s="215"/>
      <c r="BF142" s="215"/>
      <c r="BG142" s="215"/>
    </row>
    <row r="143" spans="1:59" ht="12.75" x14ac:dyDescent="0.2">
      <c r="A143" s="217"/>
      <c r="B143" s="215"/>
      <c r="C143" s="215"/>
      <c r="D143" s="215"/>
      <c r="E143" s="215"/>
      <c r="F143" s="215"/>
      <c r="G143" s="215"/>
      <c r="H143" s="215"/>
      <c r="I143" s="215"/>
      <c r="J143" s="215"/>
      <c r="K143" s="215"/>
      <c r="L143" s="215"/>
      <c r="M143" s="215"/>
      <c r="N143" s="215"/>
      <c r="O143" s="215"/>
      <c r="P143" s="215"/>
      <c r="Q143" s="215"/>
      <c r="R143" s="215"/>
      <c r="S143" s="215"/>
      <c r="T143" s="215"/>
      <c r="U143" s="215"/>
      <c r="V143" s="215"/>
      <c r="W143" s="215"/>
      <c r="X143" s="215"/>
      <c r="Y143" s="215"/>
      <c r="Z143" s="215"/>
      <c r="AA143" s="215"/>
      <c r="AB143" s="215"/>
      <c r="AC143" s="215"/>
      <c r="AD143" s="215"/>
      <c r="AE143" s="215"/>
      <c r="AF143" s="215"/>
      <c r="AG143" s="215"/>
      <c r="AH143" s="215"/>
      <c r="AI143" s="215"/>
      <c r="AJ143" s="215"/>
      <c r="AK143" s="215"/>
      <c r="AL143" s="215"/>
      <c r="AM143" s="215"/>
      <c r="AN143" s="215"/>
      <c r="AO143" s="215"/>
      <c r="AP143" s="215"/>
      <c r="AQ143" s="215"/>
      <c r="AR143" s="215"/>
      <c r="AS143" s="215"/>
      <c r="AT143" s="215"/>
      <c r="AU143" s="215"/>
      <c r="AV143" s="215"/>
      <c r="AW143" s="215"/>
      <c r="AX143" s="215"/>
      <c r="AY143" s="215"/>
      <c r="AZ143" s="215"/>
      <c r="BA143" s="215"/>
      <c r="BB143" s="215"/>
      <c r="BC143" s="215"/>
      <c r="BD143" s="215"/>
      <c r="BE143" s="215"/>
      <c r="BF143" s="215"/>
      <c r="BG143" s="215"/>
    </row>
    <row r="144" spans="1:59" ht="12.75" x14ac:dyDescent="0.2">
      <c r="A144" s="217"/>
      <c r="B144" s="215"/>
      <c r="C144" s="215"/>
      <c r="D144" s="215"/>
      <c r="E144" s="215"/>
      <c r="F144" s="215"/>
      <c r="G144" s="215"/>
      <c r="H144" s="215"/>
      <c r="I144" s="215"/>
      <c r="J144" s="215"/>
      <c r="K144" s="215"/>
      <c r="L144" s="215"/>
      <c r="M144" s="215"/>
      <c r="N144" s="215"/>
      <c r="O144" s="215"/>
      <c r="P144" s="215"/>
      <c r="Q144" s="215"/>
      <c r="R144" s="215"/>
      <c r="S144" s="215"/>
      <c r="T144" s="215"/>
      <c r="U144" s="215"/>
      <c r="V144" s="215"/>
      <c r="W144" s="215"/>
      <c r="X144" s="215"/>
      <c r="Y144" s="215"/>
      <c r="Z144" s="215"/>
      <c r="AA144" s="215"/>
      <c r="AB144" s="215"/>
      <c r="AC144" s="215"/>
      <c r="AD144" s="215"/>
      <c r="AE144" s="215"/>
      <c r="AF144" s="215"/>
      <c r="AG144" s="215"/>
      <c r="AH144" s="215"/>
      <c r="AI144" s="215"/>
      <c r="AJ144" s="215"/>
      <c r="AK144" s="215"/>
      <c r="AL144" s="215"/>
      <c r="AM144" s="215"/>
      <c r="AN144" s="215"/>
      <c r="AO144" s="215"/>
      <c r="AP144" s="215"/>
      <c r="AQ144" s="215"/>
      <c r="AR144" s="215"/>
      <c r="AS144" s="215"/>
      <c r="AT144" s="215"/>
      <c r="AU144" s="215"/>
      <c r="AV144" s="215"/>
      <c r="AW144" s="215"/>
      <c r="AX144" s="215"/>
      <c r="AY144" s="215"/>
      <c r="AZ144" s="215"/>
      <c r="BA144" s="215"/>
      <c r="BB144" s="215"/>
      <c r="BC144" s="215"/>
      <c r="BD144" s="215"/>
      <c r="BE144" s="215"/>
      <c r="BF144" s="215"/>
      <c r="BG144" s="215"/>
    </row>
    <row r="145" spans="1:59" ht="12.75" x14ac:dyDescent="0.2">
      <c r="A145" s="217"/>
      <c r="B145" s="215"/>
      <c r="C145" s="215"/>
      <c r="D145" s="215"/>
      <c r="E145" s="215"/>
      <c r="F145" s="215"/>
      <c r="G145" s="215"/>
      <c r="H145" s="215"/>
      <c r="I145" s="215"/>
      <c r="J145" s="215"/>
      <c r="K145" s="215"/>
      <c r="L145" s="215"/>
      <c r="M145" s="215"/>
      <c r="N145" s="215"/>
      <c r="O145" s="215"/>
      <c r="P145" s="215"/>
      <c r="Q145" s="215"/>
      <c r="R145" s="215"/>
      <c r="S145" s="215"/>
      <c r="T145" s="215"/>
      <c r="U145" s="215"/>
      <c r="V145" s="215"/>
      <c r="W145" s="215"/>
      <c r="X145" s="215"/>
      <c r="Y145" s="215"/>
      <c r="Z145" s="215"/>
      <c r="AA145" s="215"/>
      <c r="AB145" s="215"/>
      <c r="AC145" s="215"/>
      <c r="AD145" s="215"/>
      <c r="AE145" s="215"/>
      <c r="AF145" s="215"/>
      <c r="AG145" s="215"/>
      <c r="AH145" s="215"/>
      <c r="AI145" s="215"/>
      <c r="AJ145" s="215"/>
      <c r="AK145" s="215"/>
      <c r="AL145" s="215"/>
      <c r="AM145" s="215"/>
      <c r="AN145" s="215"/>
      <c r="AO145" s="215"/>
      <c r="AP145" s="215"/>
      <c r="AQ145" s="215"/>
      <c r="AR145" s="215"/>
      <c r="AS145" s="215"/>
      <c r="AT145" s="215"/>
      <c r="AU145" s="215"/>
      <c r="AV145" s="215"/>
      <c r="AW145" s="215"/>
      <c r="AX145" s="215"/>
      <c r="AY145" s="215"/>
      <c r="AZ145" s="215"/>
      <c r="BA145" s="215"/>
      <c r="BB145" s="215"/>
      <c r="BC145" s="215"/>
      <c r="BD145" s="215"/>
      <c r="BE145" s="215"/>
      <c r="BF145" s="215"/>
      <c r="BG145" s="215"/>
    </row>
    <row r="146" spans="1:59" ht="12.75" x14ac:dyDescent="0.2">
      <c r="A146" s="217"/>
      <c r="B146" s="215"/>
      <c r="C146" s="215"/>
      <c r="D146" s="215"/>
      <c r="E146" s="215"/>
      <c r="F146" s="215"/>
      <c r="G146" s="215"/>
      <c r="H146" s="215"/>
      <c r="I146" s="215"/>
      <c r="J146" s="215"/>
      <c r="K146" s="215"/>
      <c r="L146" s="215"/>
      <c r="M146" s="215"/>
      <c r="N146" s="215"/>
      <c r="O146" s="215"/>
      <c r="P146" s="215"/>
      <c r="Q146" s="215"/>
      <c r="R146" s="215"/>
      <c r="S146" s="215"/>
      <c r="T146" s="215"/>
      <c r="U146" s="215"/>
      <c r="V146" s="215"/>
      <c r="W146" s="215"/>
      <c r="X146" s="215"/>
      <c r="Y146" s="215"/>
      <c r="Z146" s="215"/>
      <c r="AA146" s="215"/>
      <c r="AB146" s="215"/>
      <c r="AC146" s="215"/>
      <c r="AD146" s="215"/>
      <c r="AE146" s="215"/>
      <c r="AF146" s="215"/>
      <c r="AG146" s="215"/>
      <c r="AH146" s="215"/>
      <c r="AI146" s="215"/>
      <c r="AJ146" s="215"/>
      <c r="AK146" s="215"/>
      <c r="AL146" s="215"/>
      <c r="AM146" s="215"/>
      <c r="AN146" s="215"/>
      <c r="AO146" s="215"/>
      <c r="AP146" s="215"/>
      <c r="AQ146" s="215"/>
      <c r="AR146" s="215"/>
      <c r="AS146" s="215"/>
      <c r="AT146" s="215"/>
      <c r="AU146" s="215"/>
      <c r="AV146" s="215"/>
      <c r="AW146" s="215"/>
      <c r="AX146" s="215"/>
      <c r="AY146" s="215"/>
      <c r="AZ146" s="215"/>
      <c r="BA146" s="215"/>
      <c r="BB146" s="215"/>
      <c r="BC146" s="215"/>
      <c r="BD146" s="215"/>
      <c r="BE146" s="215"/>
      <c r="BF146" s="215"/>
      <c r="BG146" s="215"/>
    </row>
    <row r="147" spans="1:59" ht="12.75" x14ac:dyDescent="0.2">
      <c r="A147" s="217"/>
      <c r="B147" s="215"/>
      <c r="C147" s="215"/>
      <c r="D147" s="215"/>
      <c r="E147" s="215"/>
      <c r="F147" s="215"/>
      <c r="G147" s="215"/>
      <c r="H147" s="215"/>
      <c r="I147" s="215"/>
      <c r="J147" s="215"/>
      <c r="K147" s="215"/>
      <c r="L147" s="215"/>
      <c r="M147" s="215"/>
      <c r="N147" s="215"/>
      <c r="O147" s="215"/>
      <c r="P147" s="215"/>
      <c r="Q147" s="215"/>
      <c r="R147" s="215"/>
      <c r="S147" s="215"/>
      <c r="T147" s="215"/>
      <c r="U147" s="215"/>
      <c r="V147" s="215"/>
      <c r="W147" s="215"/>
      <c r="X147" s="215"/>
      <c r="Y147" s="215"/>
      <c r="Z147" s="215"/>
      <c r="AA147" s="215"/>
      <c r="AB147" s="215"/>
      <c r="AC147" s="215"/>
      <c r="AD147" s="215"/>
      <c r="AE147" s="215"/>
      <c r="AF147" s="215"/>
      <c r="AG147" s="215"/>
      <c r="AH147" s="215"/>
      <c r="AI147" s="215"/>
      <c r="AJ147" s="215"/>
      <c r="AK147" s="215"/>
      <c r="AL147" s="215"/>
      <c r="AM147" s="215"/>
      <c r="AN147" s="215"/>
      <c r="AO147" s="215"/>
      <c r="AP147" s="215"/>
      <c r="AQ147" s="215"/>
      <c r="AR147" s="215"/>
      <c r="AS147" s="215"/>
      <c r="AT147" s="215"/>
      <c r="AU147" s="215"/>
      <c r="AV147" s="215"/>
      <c r="AW147" s="215"/>
      <c r="AX147" s="215"/>
      <c r="AY147" s="215"/>
      <c r="AZ147" s="215"/>
      <c r="BA147" s="215"/>
      <c r="BB147" s="215"/>
      <c r="BC147" s="215"/>
      <c r="BD147" s="215"/>
      <c r="BE147" s="215"/>
      <c r="BF147" s="215"/>
      <c r="BG147" s="215"/>
    </row>
    <row r="148" spans="1:59" ht="12.75" x14ac:dyDescent="0.2">
      <c r="A148" s="217"/>
      <c r="B148" s="215"/>
      <c r="C148" s="215"/>
      <c r="D148" s="215"/>
      <c r="E148" s="215"/>
      <c r="F148" s="215"/>
      <c r="G148" s="215"/>
      <c r="H148" s="215"/>
      <c r="I148" s="215"/>
      <c r="J148" s="215"/>
      <c r="K148" s="215"/>
      <c r="L148" s="215"/>
      <c r="M148" s="215"/>
      <c r="N148" s="215"/>
      <c r="O148" s="215"/>
      <c r="P148" s="215"/>
      <c r="Q148" s="215"/>
      <c r="R148" s="215"/>
      <c r="S148" s="215"/>
      <c r="T148" s="215"/>
      <c r="U148" s="215"/>
      <c r="V148" s="215"/>
      <c r="W148" s="215"/>
      <c r="X148" s="215"/>
      <c r="Y148" s="215"/>
      <c r="Z148" s="215"/>
      <c r="AA148" s="215"/>
      <c r="AB148" s="215"/>
      <c r="AC148" s="215"/>
      <c r="AD148" s="215"/>
      <c r="AE148" s="215"/>
      <c r="AF148" s="215"/>
      <c r="AG148" s="215"/>
      <c r="AH148" s="215"/>
      <c r="AI148" s="215"/>
      <c r="AJ148" s="215"/>
      <c r="AK148" s="215"/>
      <c r="AL148" s="215"/>
      <c r="AM148" s="215"/>
      <c r="AN148" s="215"/>
      <c r="AO148" s="215"/>
      <c r="AP148" s="215"/>
      <c r="AQ148" s="215"/>
      <c r="AR148" s="215"/>
      <c r="AS148" s="215"/>
      <c r="AT148" s="215"/>
      <c r="AU148" s="215"/>
      <c r="AV148" s="215"/>
      <c r="AW148" s="215"/>
      <c r="AX148" s="215"/>
      <c r="AY148" s="215"/>
      <c r="AZ148" s="215"/>
      <c r="BA148" s="215"/>
      <c r="BB148" s="215"/>
      <c r="BC148" s="215"/>
      <c r="BD148" s="215"/>
      <c r="BE148" s="215"/>
      <c r="BF148" s="215"/>
      <c r="BG148" s="215"/>
    </row>
    <row r="149" spans="1:59" ht="12.75" x14ac:dyDescent="0.2">
      <c r="A149" s="217"/>
      <c r="B149" s="215"/>
      <c r="C149" s="215"/>
      <c r="D149" s="215"/>
      <c r="E149" s="215"/>
      <c r="F149" s="215"/>
      <c r="G149" s="215"/>
      <c r="H149" s="215"/>
      <c r="I149" s="215"/>
      <c r="J149" s="215"/>
      <c r="K149" s="215"/>
      <c r="L149" s="215"/>
      <c r="M149" s="215"/>
      <c r="N149" s="215"/>
      <c r="O149" s="215"/>
      <c r="P149" s="215"/>
      <c r="Q149" s="215"/>
      <c r="R149" s="215"/>
      <c r="S149" s="215"/>
      <c r="T149" s="215"/>
      <c r="U149" s="215"/>
      <c r="V149" s="215"/>
      <c r="W149" s="215"/>
      <c r="X149" s="215"/>
      <c r="Y149" s="215"/>
      <c r="Z149" s="215"/>
      <c r="AA149" s="215"/>
      <c r="AB149" s="215"/>
      <c r="AC149" s="215"/>
      <c r="AD149" s="215"/>
      <c r="AE149" s="215"/>
      <c r="AF149" s="215"/>
      <c r="AG149" s="215"/>
      <c r="AH149" s="215"/>
      <c r="AI149" s="215"/>
      <c r="AJ149" s="215"/>
      <c r="AK149" s="215"/>
      <c r="AL149" s="215"/>
      <c r="AM149" s="215"/>
      <c r="AN149" s="215"/>
      <c r="AO149" s="215"/>
      <c r="AP149" s="215"/>
      <c r="AQ149" s="215"/>
      <c r="AR149" s="215"/>
      <c r="AS149" s="215"/>
      <c r="AT149" s="215"/>
      <c r="AU149" s="215"/>
      <c r="AV149" s="215"/>
      <c r="AW149" s="215"/>
      <c r="AX149" s="215"/>
      <c r="AY149" s="215"/>
      <c r="AZ149" s="215"/>
      <c r="BA149" s="215"/>
      <c r="BB149" s="215"/>
      <c r="BC149" s="215"/>
      <c r="BD149" s="215"/>
      <c r="BE149" s="215"/>
      <c r="BF149" s="215"/>
      <c r="BG149" s="215"/>
    </row>
    <row r="150" spans="1:59" ht="12.75" x14ac:dyDescent="0.2">
      <c r="A150" s="217"/>
      <c r="B150" s="215"/>
      <c r="C150" s="215"/>
      <c r="D150" s="215"/>
      <c r="E150" s="215"/>
      <c r="F150" s="215"/>
      <c r="G150" s="215"/>
      <c r="H150" s="215"/>
      <c r="I150" s="215"/>
      <c r="J150" s="215"/>
      <c r="K150" s="215"/>
      <c r="L150" s="215"/>
      <c r="M150" s="215"/>
      <c r="N150" s="215"/>
      <c r="O150" s="215"/>
      <c r="P150" s="215"/>
      <c r="Q150" s="215"/>
      <c r="R150" s="215"/>
      <c r="S150" s="215"/>
      <c r="T150" s="215"/>
      <c r="U150" s="215"/>
      <c r="V150" s="215"/>
      <c r="W150" s="215"/>
      <c r="X150" s="215"/>
      <c r="Y150" s="215"/>
      <c r="Z150" s="215"/>
      <c r="AA150" s="215"/>
      <c r="AB150" s="215"/>
      <c r="AC150" s="215"/>
      <c r="AD150" s="215"/>
      <c r="AE150" s="215"/>
      <c r="AF150" s="215"/>
      <c r="AG150" s="215"/>
      <c r="AH150" s="215"/>
      <c r="AI150" s="215"/>
      <c r="AJ150" s="215"/>
      <c r="AK150" s="215"/>
      <c r="AL150" s="215"/>
      <c r="AM150" s="215"/>
      <c r="AN150" s="215"/>
      <c r="AO150" s="215"/>
      <c r="AP150" s="215"/>
      <c r="AQ150" s="215"/>
      <c r="AR150" s="215"/>
      <c r="AS150" s="215"/>
      <c r="AT150" s="215"/>
      <c r="AU150" s="215"/>
      <c r="AV150" s="215"/>
      <c r="AW150" s="215"/>
      <c r="AX150" s="215"/>
      <c r="AY150" s="215"/>
      <c r="AZ150" s="215"/>
      <c r="BA150" s="215"/>
      <c r="BB150" s="215"/>
      <c r="BC150" s="215"/>
      <c r="BD150" s="215"/>
      <c r="BE150" s="215"/>
      <c r="BF150" s="215"/>
      <c r="BG150" s="215"/>
    </row>
    <row r="151" spans="1:59" ht="12.75" x14ac:dyDescent="0.2">
      <c r="A151" s="217"/>
      <c r="B151" s="215"/>
      <c r="C151" s="215"/>
      <c r="D151" s="215"/>
      <c r="E151" s="215"/>
      <c r="F151" s="215"/>
      <c r="G151" s="215"/>
      <c r="H151" s="215"/>
      <c r="I151" s="215"/>
      <c r="J151" s="215"/>
      <c r="K151" s="215"/>
      <c r="L151" s="215"/>
      <c r="M151" s="215"/>
      <c r="N151" s="215"/>
      <c r="O151" s="215"/>
      <c r="P151" s="215"/>
      <c r="Q151" s="215"/>
      <c r="R151" s="215"/>
      <c r="S151" s="215"/>
      <c r="T151" s="215"/>
      <c r="U151" s="215"/>
      <c r="V151" s="215"/>
      <c r="W151" s="215"/>
      <c r="X151" s="215"/>
      <c r="Y151" s="215"/>
      <c r="Z151" s="215"/>
      <c r="AA151" s="215"/>
      <c r="AB151" s="215"/>
      <c r="AC151" s="215"/>
      <c r="AD151" s="215"/>
      <c r="AE151" s="215"/>
      <c r="AF151" s="215"/>
      <c r="AG151" s="215"/>
      <c r="AH151" s="215"/>
      <c r="AI151" s="215"/>
      <c r="AJ151" s="215"/>
      <c r="AK151" s="215"/>
      <c r="AL151" s="215"/>
      <c r="AM151" s="215"/>
      <c r="AN151" s="215"/>
      <c r="AO151" s="215"/>
      <c r="AP151" s="215"/>
      <c r="AQ151" s="215"/>
      <c r="AR151" s="215"/>
      <c r="AS151" s="215"/>
      <c r="AT151" s="215"/>
      <c r="AU151" s="215"/>
      <c r="AV151" s="215"/>
      <c r="AW151" s="215"/>
      <c r="AX151" s="215"/>
      <c r="AY151" s="215"/>
      <c r="AZ151" s="215"/>
      <c r="BA151" s="215"/>
      <c r="BB151" s="215"/>
      <c r="BC151" s="215"/>
      <c r="BD151" s="215"/>
      <c r="BE151" s="215"/>
      <c r="BF151" s="215"/>
      <c r="BG151" s="215"/>
    </row>
    <row r="152" spans="1:59" ht="12.75" x14ac:dyDescent="0.2">
      <c r="A152" s="217"/>
      <c r="B152" s="215"/>
      <c r="C152" s="215"/>
      <c r="D152" s="215"/>
      <c r="E152" s="215"/>
      <c r="F152" s="215"/>
      <c r="G152" s="215"/>
      <c r="H152" s="215"/>
      <c r="I152" s="215"/>
      <c r="J152" s="215"/>
      <c r="K152" s="215"/>
      <c r="L152" s="215"/>
      <c r="M152" s="215"/>
      <c r="N152" s="215"/>
      <c r="O152" s="215"/>
      <c r="P152" s="215"/>
      <c r="Q152" s="215"/>
      <c r="R152" s="215"/>
      <c r="S152" s="215"/>
      <c r="T152" s="215"/>
      <c r="U152" s="215"/>
      <c r="V152" s="215"/>
      <c r="W152" s="215"/>
      <c r="X152" s="215"/>
      <c r="Y152" s="215"/>
      <c r="Z152" s="215"/>
      <c r="AA152" s="215"/>
      <c r="AB152" s="215"/>
      <c r="AC152" s="215"/>
      <c r="AD152" s="215"/>
      <c r="AE152" s="215"/>
      <c r="AF152" s="215"/>
      <c r="AG152" s="215"/>
      <c r="AH152" s="215"/>
      <c r="AI152" s="215"/>
      <c r="AJ152" s="215"/>
      <c r="AK152" s="215"/>
      <c r="AL152" s="215"/>
      <c r="AM152" s="215"/>
      <c r="AN152" s="215"/>
      <c r="AO152" s="215"/>
      <c r="AP152" s="215"/>
      <c r="AQ152" s="215"/>
      <c r="AR152" s="215"/>
      <c r="AS152" s="215"/>
      <c r="AT152" s="215"/>
      <c r="AU152" s="215"/>
      <c r="AV152" s="215"/>
      <c r="AW152" s="215"/>
      <c r="AX152" s="215"/>
      <c r="AY152" s="215"/>
      <c r="AZ152" s="215"/>
      <c r="BA152" s="215"/>
      <c r="BB152" s="215"/>
      <c r="BC152" s="215"/>
      <c r="BD152" s="215"/>
      <c r="BE152" s="215"/>
      <c r="BF152" s="215"/>
      <c r="BG152" s="215"/>
    </row>
    <row r="153" spans="1:59" ht="12.75" x14ac:dyDescent="0.2">
      <c r="A153" s="217"/>
      <c r="B153" s="215"/>
      <c r="C153" s="215"/>
      <c r="D153" s="215"/>
      <c r="E153" s="215"/>
      <c r="F153" s="215"/>
      <c r="G153" s="215"/>
      <c r="H153" s="215"/>
      <c r="I153" s="215"/>
      <c r="J153" s="215"/>
      <c r="K153" s="215"/>
      <c r="L153" s="215"/>
      <c r="M153" s="215"/>
      <c r="N153" s="215"/>
      <c r="O153" s="215"/>
      <c r="P153" s="215"/>
      <c r="Q153" s="215"/>
      <c r="R153" s="215"/>
      <c r="S153" s="215"/>
      <c r="T153" s="215"/>
      <c r="U153" s="215"/>
      <c r="V153" s="215"/>
      <c r="W153" s="215"/>
      <c r="X153" s="215"/>
      <c r="Y153" s="215"/>
      <c r="Z153" s="215"/>
      <c r="AA153" s="215"/>
      <c r="AB153" s="215"/>
      <c r="AC153" s="215"/>
      <c r="AD153" s="215"/>
      <c r="AE153" s="215"/>
      <c r="AF153" s="215"/>
      <c r="AG153" s="215"/>
      <c r="AH153" s="215"/>
      <c r="AI153" s="215"/>
      <c r="AJ153" s="215"/>
      <c r="AK153" s="215"/>
      <c r="AL153" s="215"/>
      <c r="AM153" s="215"/>
      <c r="AN153" s="215"/>
      <c r="AO153" s="215"/>
      <c r="AP153" s="215"/>
      <c r="AQ153" s="215"/>
      <c r="AR153" s="215"/>
      <c r="AS153" s="215"/>
      <c r="AT153" s="215"/>
      <c r="AU153" s="215"/>
      <c r="AV153" s="215"/>
      <c r="AW153" s="215"/>
      <c r="AX153" s="215"/>
      <c r="AY153" s="215"/>
      <c r="AZ153" s="215"/>
      <c r="BA153" s="215"/>
      <c r="BB153" s="215"/>
      <c r="BC153" s="215"/>
      <c r="BD153" s="215"/>
      <c r="BE153" s="215"/>
      <c r="BF153" s="215"/>
      <c r="BG153" s="215"/>
    </row>
    <row r="154" spans="1:59" ht="12.75" x14ac:dyDescent="0.2">
      <c r="A154" s="217"/>
      <c r="B154" s="215"/>
      <c r="C154" s="215"/>
      <c r="D154" s="215"/>
      <c r="E154" s="215"/>
      <c r="F154" s="215"/>
      <c r="G154" s="215"/>
      <c r="H154" s="215"/>
      <c r="I154" s="215"/>
      <c r="J154" s="215"/>
      <c r="K154" s="215"/>
      <c r="L154" s="215"/>
      <c r="M154" s="215"/>
      <c r="N154" s="215"/>
      <c r="O154" s="215"/>
      <c r="P154" s="215"/>
      <c r="Q154" s="215"/>
      <c r="R154" s="215"/>
      <c r="S154" s="215"/>
      <c r="T154" s="215"/>
      <c r="U154" s="215"/>
      <c r="V154" s="215"/>
      <c r="W154" s="215"/>
      <c r="X154" s="215"/>
      <c r="Y154" s="215"/>
      <c r="Z154" s="215"/>
      <c r="AA154" s="215"/>
      <c r="AB154" s="215"/>
      <c r="AC154" s="215"/>
      <c r="AD154" s="215"/>
      <c r="AE154" s="215"/>
      <c r="AF154" s="215"/>
      <c r="AG154" s="215"/>
      <c r="AH154" s="215"/>
      <c r="AI154" s="215"/>
      <c r="AJ154" s="215"/>
      <c r="AK154" s="215"/>
      <c r="AL154" s="215"/>
      <c r="AM154" s="215"/>
      <c r="AN154" s="215"/>
      <c r="AO154" s="215"/>
      <c r="AP154" s="215"/>
      <c r="AQ154" s="215"/>
      <c r="AR154" s="215"/>
      <c r="AS154" s="215"/>
      <c r="AT154" s="215"/>
      <c r="AU154" s="215"/>
      <c r="AV154" s="215"/>
      <c r="AW154" s="215"/>
      <c r="AX154" s="215"/>
      <c r="AY154" s="215"/>
      <c r="AZ154" s="215"/>
      <c r="BA154" s="215"/>
      <c r="BB154" s="215"/>
      <c r="BC154" s="215"/>
      <c r="BD154" s="215"/>
      <c r="BE154" s="215"/>
      <c r="BF154" s="215"/>
      <c r="BG154" s="215"/>
    </row>
    <row r="155" spans="1:59" ht="12.75" x14ac:dyDescent="0.2">
      <c r="A155" s="217"/>
      <c r="B155" s="215"/>
      <c r="C155" s="215"/>
      <c r="D155" s="215"/>
      <c r="E155" s="215"/>
      <c r="F155" s="215"/>
      <c r="G155" s="215"/>
      <c r="H155" s="215"/>
      <c r="I155" s="215"/>
      <c r="J155" s="215"/>
      <c r="K155" s="215"/>
      <c r="L155" s="215"/>
      <c r="M155" s="215"/>
      <c r="N155" s="215"/>
      <c r="O155" s="215"/>
      <c r="P155" s="215"/>
      <c r="Q155" s="215"/>
      <c r="R155" s="215"/>
      <c r="S155" s="215"/>
      <c r="T155" s="215"/>
      <c r="U155" s="215"/>
      <c r="V155" s="215"/>
      <c r="W155" s="215"/>
      <c r="X155" s="215"/>
      <c r="Y155" s="215"/>
      <c r="Z155" s="215"/>
      <c r="AA155" s="215"/>
      <c r="AB155" s="215"/>
      <c r="AC155" s="215"/>
      <c r="AD155" s="215"/>
      <c r="AE155" s="215"/>
      <c r="AF155" s="215"/>
      <c r="AG155" s="215"/>
      <c r="AH155" s="215"/>
      <c r="AI155" s="215"/>
      <c r="AJ155" s="215"/>
      <c r="AK155" s="215"/>
      <c r="AL155" s="215"/>
      <c r="AM155" s="215"/>
      <c r="AN155" s="215"/>
      <c r="AO155" s="215"/>
      <c r="AP155" s="215"/>
      <c r="AQ155" s="215"/>
      <c r="AR155" s="215"/>
      <c r="AS155" s="215"/>
      <c r="AT155" s="215"/>
      <c r="AU155" s="215"/>
      <c r="AV155" s="215"/>
      <c r="AW155" s="215"/>
      <c r="AX155" s="215"/>
      <c r="AY155" s="215"/>
      <c r="AZ155" s="215"/>
      <c r="BA155" s="215"/>
      <c r="BB155" s="215"/>
      <c r="BC155" s="215"/>
      <c r="BD155" s="215"/>
      <c r="BE155" s="215"/>
      <c r="BF155" s="215"/>
      <c r="BG155" s="215"/>
    </row>
    <row r="156" spans="1:59" ht="12.75" x14ac:dyDescent="0.2">
      <c r="A156" s="217"/>
      <c r="B156" s="215"/>
      <c r="C156" s="215"/>
      <c r="D156" s="215"/>
      <c r="E156" s="215"/>
      <c r="F156" s="215"/>
      <c r="G156" s="215"/>
      <c r="H156" s="215"/>
      <c r="I156" s="215"/>
      <c r="J156" s="215"/>
      <c r="K156" s="215"/>
      <c r="L156" s="215"/>
      <c r="M156" s="215"/>
      <c r="N156" s="215"/>
      <c r="O156" s="215"/>
      <c r="P156" s="215"/>
      <c r="Q156" s="215"/>
      <c r="R156" s="215"/>
      <c r="S156" s="215"/>
      <c r="T156" s="215"/>
      <c r="U156" s="215"/>
      <c r="V156" s="215"/>
      <c r="W156" s="215"/>
      <c r="X156" s="215"/>
      <c r="Y156" s="215"/>
      <c r="Z156" s="215"/>
      <c r="AA156" s="215"/>
      <c r="AB156" s="215"/>
      <c r="AC156" s="215"/>
      <c r="AD156" s="215"/>
      <c r="AE156" s="215"/>
      <c r="AF156" s="215"/>
      <c r="AG156" s="215"/>
      <c r="AH156" s="215"/>
      <c r="AI156" s="215"/>
      <c r="AJ156" s="215"/>
      <c r="AK156" s="215"/>
      <c r="AL156" s="215"/>
      <c r="AM156" s="215"/>
      <c r="AN156" s="215"/>
      <c r="AO156" s="215"/>
      <c r="AP156" s="215"/>
      <c r="AQ156" s="215"/>
      <c r="AR156" s="215"/>
      <c r="AS156" s="215"/>
      <c r="AT156" s="215"/>
      <c r="AU156" s="215"/>
      <c r="AV156" s="215"/>
      <c r="AW156" s="215"/>
      <c r="AX156" s="215"/>
      <c r="AY156" s="215"/>
      <c r="AZ156" s="215"/>
      <c r="BA156" s="215"/>
      <c r="BB156" s="215"/>
      <c r="BC156" s="215"/>
      <c r="BD156" s="215"/>
      <c r="BE156" s="215"/>
      <c r="BF156" s="215"/>
      <c r="BG156" s="215"/>
    </row>
    <row r="157" spans="1:59" ht="12.75" x14ac:dyDescent="0.2">
      <c r="A157" s="217"/>
      <c r="B157" s="215"/>
      <c r="C157" s="215"/>
      <c r="D157" s="215"/>
      <c r="E157" s="215"/>
      <c r="F157" s="215"/>
      <c r="G157" s="215"/>
      <c r="H157" s="215"/>
      <c r="I157" s="215"/>
      <c r="J157" s="215"/>
      <c r="K157" s="215"/>
      <c r="L157" s="215"/>
      <c r="M157" s="215"/>
      <c r="N157" s="215"/>
      <c r="O157" s="215"/>
      <c r="P157" s="215"/>
      <c r="Q157" s="215"/>
      <c r="R157" s="215"/>
      <c r="S157" s="215"/>
      <c r="T157" s="215"/>
      <c r="U157" s="215"/>
      <c r="V157" s="215"/>
      <c r="W157" s="215"/>
      <c r="X157" s="215"/>
      <c r="Y157" s="215"/>
      <c r="Z157" s="215"/>
      <c r="AA157" s="215"/>
      <c r="AB157" s="215"/>
      <c r="AC157" s="215"/>
      <c r="AD157" s="215"/>
      <c r="AE157" s="215"/>
      <c r="AF157" s="215"/>
      <c r="AG157" s="215"/>
      <c r="AH157" s="215"/>
      <c r="AI157" s="215"/>
      <c r="AJ157" s="215"/>
      <c r="AK157" s="215"/>
      <c r="AL157" s="215"/>
      <c r="AM157" s="215"/>
      <c r="AN157" s="215"/>
      <c r="AO157" s="215"/>
      <c r="AP157" s="215"/>
      <c r="AQ157" s="215"/>
      <c r="AR157" s="215"/>
      <c r="AS157" s="215"/>
      <c r="AT157" s="215"/>
      <c r="AU157" s="215"/>
      <c r="AV157" s="215"/>
      <c r="AW157" s="215"/>
      <c r="AX157" s="215"/>
      <c r="AY157" s="215"/>
      <c r="AZ157" s="215"/>
      <c r="BA157" s="215"/>
      <c r="BB157" s="215"/>
      <c r="BC157" s="215"/>
      <c r="BD157" s="215"/>
      <c r="BE157" s="215"/>
      <c r="BF157" s="215"/>
      <c r="BG157" s="215"/>
    </row>
    <row r="158" spans="1:59" ht="12.75" x14ac:dyDescent="0.2">
      <c r="A158" s="217"/>
      <c r="B158" s="215"/>
      <c r="C158" s="215"/>
      <c r="D158" s="215"/>
      <c r="E158" s="215"/>
      <c r="F158" s="215"/>
      <c r="G158" s="215"/>
      <c r="H158" s="215"/>
      <c r="I158" s="215"/>
      <c r="J158" s="215"/>
      <c r="K158" s="215"/>
      <c r="L158" s="215"/>
      <c r="M158" s="215"/>
      <c r="N158" s="215"/>
      <c r="O158" s="215"/>
      <c r="P158" s="215"/>
      <c r="Q158" s="215"/>
      <c r="R158" s="215"/>
      <c r="S158" s="215"/>
      <c r="T158" s="215"/>
      <c r="U158" s="215"/>
      <c r="V158" s="215"/>
      <c r="W158" s="215"/>
      <c r="X158" s="215"/>
      <c r="Y158" s="215"/>
      <c r="Z158" s="215"/>
      <c r="AA158" s="215"/>
      <c r="AB158" s="215"/>
      <c r="AC158" s="215"/>
      <c r="AD158" s="215"/>
      <c r="AE158" s="215"/>
      <c r="AF158" s="215"/>
      <c r="AG158" s="215"/>
      <c r="AH158" s="215"/>
      <c r="AI158" s="215"/>
      <c r="AJ158" s="215"/>
      <c r="AK158" s="215"/>
      <c r="AL158" s="215"/>
      <c r="AM158" s="215"/>
      <c r="AN158" s="215"/>
      <c r="AO158" s="215"/>
      <c r="AP158" s="215"/>
      <c r="AQ158" s="215"/>
      <c r="AR158" s="215"/>
      <c r="AS158" s="215"/>
      <c r="AT158" s="215"/>
      <c r="AU158" s="215"/>
      <c r="AV158" s="215"/>
      <c r="AW158" s="215"/>
      <c r="AX158" s="215"/>
      <c r="AY158" s="215"/>
      <c r="AZ158" s="215"/>
      <c r="BA158" s="215"/>
      <c r="BB158" s="215"/>
      <c r="BC158" s="215"/>
      <c r="BD158" s="215"/>
      <c r="BE158" s="215"/>
      <c r="BF158" s="215"/>
      <c r="BG158" s="215"/>
    </row>
    <row r="159" spans="1:59" ht="12.75" x14ac:dyDescent="0.2">
      <c r="A159" s="217"/>
      <c r="B159" s="215"/>
      <c r="C159" s="215"/>
      <c r="D159" s="215"/>
      <c r="E159" s="215"/>
      <c r="F159" s="215"/>
      <c r="G159" s="215"/>
      <c r="H159" s="215"/>
      <c r="I159" s="215"/>
      <c r="J159" s="215"/>
      <c r="K159" s="215"/>
      <c r="L159" s="215"/>
      <c r="M159" s="215"/>
      <c r="N159" s="215"/>
      <c r="O159" s="215"/>
      <c r="P159" s="215"/>
      <c r="Q159" s="215"/>
      <c r="R159" s="215"/>
      <c r="S159" s="215"/>
      <c r="T159" s="215"/>
      <c r="U159" s="215"/>
      <c r="V159" s="215"/>
      <c r="W159" s="215"/>
      <c r="X159" s="215"/>
      <c r="Y159" s="215"/>
      <c r="Z159" s="215"/>
      <c r="AA159" s="215"/>
      <c r="AB159" s="215"/>
      <c r="AC159" s="215"/>
      <c r="AD159" s="215"/>
      <c r="AE159" s="215"/>
      <c r="AF159" s="215"/>
      <c r="AG159" s="215"/>
      <c r="AH159" s="215"/>
      <c r="AI159" s="215"/>
      <c r="AJ159" s="215"/>
      <c r="AK159" s="215"/>
      <c r="AL159" s="215"/>
      <c r="AM159" s="215"/>
      <c r="AN159" s="215"/>
      <c r="AO159" s="215"/>
      <c r="AP159" s="215"/>
      <c r="AQ159" s="215"/>
      <c r="AR159" s="215"/>
      <c r="AS159" s="215"/>
      <c r="AT159" s="215"/>
      <c r="AU159" s="215"/>
      <c r="AV159" s="215"/>
      <c r="AW159" s="215"/>
      <c r="AX159" s="215"/>
      <c r="AY159" s="215"/>
      <c r="AZ159" s="215"/>
      <c r="BA159" s="215"/>
      <c r="BB159" s="215"/>
      <c r="BC159" s="215"/>
      <c r="BD159" s="215"/>
      <c r="BE159" s="215"/>
      <c r="BF159" s="215"/>
      <c r="BG159" s="215"/>
    </row>
    <row r="160" spans="1:59" ht="12.75" x14ac:dyDescent="0.2">
      <c r="A160" s="217"/>
      <c r="B160" s="215"/>
      <c r="C160" s="215"/>
      <c r="D160" s="215"/>
      <c r="E160" s="215"/>
      <c r="F160" s="215"/>
      <c r="G160" s="215"/>
      <c r="H160" s="215"/>
      <c r="I160" s="215"/>
      <c r="J160" s="215"/>
      <c r="K160" s="215"/>
      <c r="L160" s="215"/>
      <c r="M160" s="215"/>
      <c r="N160" s="215"/>
      <c r="O160" s="215"/>
      <c r="P160" s="215"/>
      <c r="Q160" s="215"/>
      <c r="R160" s="215"/>
      <c r="S160" s="215"/>
      <c r="T160" s="215"/>
      <c r="U160" s="215"/>
      <c r="V160" s="215"/>
      <c r="W160" s="215"/>
      <c r="X160" s="215"/>
      <c r="Y160" s="215"/>
      <c r="Z160" s="215"/>
      <c r="AA160" s="215"/>
      <c r="AB160" s="215"/>
      <c r="AC160" s="215"/>
      <c r="AD160" s="215"/>
      <c r="AE160" s="215"/>
      <c r="AF160" s="215"/>
      <c r="AG160" s="215"/>
      <c r="AH160" s="215"/>
      <c r="AI160" s="215"/>
      <c r="AJ160" s="215"/>
      <c r="AK160" s="215"/>
      <c r="AL160" s="215"/>
      <c r="AM160" s="215"/>
      <c r="AN160" s="215"/>
      <c r="AO160" s="215"/>
      <c r="AP160" s="215"/>
      <c r="AQ160" s="215"/>
      <c r="AR160" s="215"/>
      <c r="AS160" s="215"/>
      <c r="AT160" s="215"/>
      <c r="AU160" s="215"/>
      <c r="AV160" s="215"/>
      <c r="AW160" s="215"/>
      <c r="AX160" s="215"/>
      <c r="AY160" s="215"/>
      <c r="AZ160" s="215"/>
      <c r="BA160" s="215"/>
      <c r="BB160" s="215"/>
      <c r="BC160" s="215"/>
      <c r="BD160" s="215"/>
      <c r="BE160" s="215"/>
      <c r="BF160" s="215"/>
      <c r="BG160" s="215"/>
    </row>
    <row r="161" spans="1:59" ht="12.75" x14ac:dyDescent="0.2">
      <c r="A161" s="217"/>
      <c r="B161" s="215"/>
      <c r="C161" s="215"/>
      <c r="D161" s="215"/>
      <c r="E161" s="215"/>
      <c r="F161" s="215"/>
      <c r="G161" s="215"/>
      <c r="H161" s="215"/>
      <c r="I161" s="215"/>
      <c r="J161" s="215"/>
      <c r="K161" s="215"/>
      <c r="L161" s="215"/>
      <c r="M161" s="215"/>
      <c r="N161" s="215"/>
      <c r="O161" s="215"/>
      <c r="P161" s="215"/>
      <c r="Q161" s="215"/>
      <c r="R161" s="215"/>
      <c r="S161" s="215"/>
      <c r="T161" s="215"/>
      <c r="U161" s="215"/>
      <c r="V161" s="215"/>
      <c r="W161" s="215"/>
      <c r="X161" s="215"/>
      <c r="Y161" s="215"/>
      <c r="Z161" s="215"/>
      <c r="AA161" s="215"/>
      <c r="AB161" s="215"/>
      <c r="AC161" s="215"/>
      <c r="AD161" s="215"/>
      <c r="AE161" s="215"/>
      <c r="AF161" s="215"/>
      <c r="AG161" s="215"/>
      <c r="AH161" s="215"/>
      <c r="AI161" s="215"/>
      <c r="AJ161" s="215"/>
      <c r="AK161" s="215"/>
      <c r="AL161" s="215"/>
      <c r="AM161" s="215"/>
      <c r="AN161" s="215"/>
      <c r="AO161" s="215"/>
      <c r="AP161" s="215"/>
      <c r="AQ161" s="215"/>
      <c r="AR161" s="215"/>
      <c r="AS161" s="215"/>
      <c r="AT161" s="215"/>
      <c r="AU161" s="215"/>
      <c r="AV161" s="215"/>
      <c r="AW161" s="215"/>
      <c r="AX161" s="215"/>
      <c r="AY161" s="215"/>
      <c r="AZ161" s="215"/>
      <c r="BA161" s="215"/>
      <c r="BB161" s="215"/>
      <c r="BC161" s="215"/>
      <c r="BD161" s="215"/>
      <c r="BE161" s="215"/>
      <c r="BF161" s="215"/>
      <c r="BG161" s="215"/>
    </row>
    <row r="162" spans="1:59" ht="12.75" x14ac:dyDescent="0.2">
      <c r="A162" s="217"/>
      <c r="B162" s="215"/>
      <c r="C162" s="215"/>
      <c r="D162" s="215"/>
      <c r="E162" s="215"/>
      <c r="F162" s="215"/>
      <c r="G162" s="215"/>
      <c r="H162" s="215"/>
      <c r="I162" s="215"/>
      <c r="J162" s="215"/>
      <c r="K162" s="215"/>
      <c r="L162" s="215"/>
      <c r="M162" s="215"/>
      <c r="N162" s="215"/>
      <c r="O162" s="215"/>
      <c r="P162" s="215"/>
      <c r="Q162" s="215"/>
      <c r="R162" s="215"/>
      <c r="S162" s="215"/>
      <c r="T162" s="215"/>
      <c r="U162" s="215"/>
      <c r="V162" s="215"/>
      <c r="W162" s="215"/>
      <c r="X162" s="215"/>
      <c r="Y162" s="215"/>
      <c r="Z162" s="215"/>
      <c r="AA162" s="215"/>
      <c r="AB162" s="215"/>
      <c r="AC162" s="215"/>
      <c r="AD162" s="215"/>
      <c r="AE162" s="215"/>
      <c r="AF162" s="215"/>
      <c r="AG162" s="215"/>
      <c r="AH162" s="215"/>
      <c r="AI162" s="215"/>
      <c r="AJ162" s="215"/>
      <c r="AK162" s="215"/>
      <c r="AL162" s="215"/>
      <c r="AM162" s="215"/>
      <c r="AN162" s="215"/>
      <c r="AO162" s="215"/>
      <c r="AP162" s="215"/>
      <c r="AQ162" s="215"/>
      <c r="AR162" s="215"/>
      <c r="AS162" s="215"/>
      <c r="AT162" s="215"/>
      <c r="AU162" s="215"/>
      <c r="AV162" s="215"/>
      <c r="AW162" s="215"/>
      <c r="AX162" s="215"/>
      <c r="AY162" s="215"/>
      <c r="AZ162" s="215"/>
      <c r="BA162" s="215"/>
      <c r="BB162" s="215"/>
      <c r="BC162" s="215"/>
      <c r="BD162" s="215"/>
      <c r="BE162" s="215"/>
      <c r="BF162" s="215"/>
      <c r="BG162" s="215"/>
    </row>
    <row r="163" spans="1:59" ht="12.75" x14ac:dyDescent="0.2">
      <c r="A163" s="217"/>
      <c r="B163" s="215"/>
      <c r="C163" s="215"/>
      <c r="D163" s="215"/>
      <c r="E163" s="215"/>
      <c r="F163" s="215"/>
      <c r="G163" s="215"/>
      <c r="H163" s="215"/>
      <c r="I163" s="215"/>
      <c r="J163" s="215"/>
      <c r="K163" s="215"/>
      <c r="L163" s="215"/>
      <c r="M163" s="215"/>
      <c r="N163" s="215"/>
      <c r="O163" s="215"/>
      <c r="P163" s="215"/>
      <c r="Q163" s="215"/>
      <c r="R163" s="215"/>
      <c r="S163" s="215"/>
      <c r="T163" s="215"/>
      <c r="U163" s="215"/>
      <c r="V163" s="215"/>
      <c r="W163" s="215"/>
      <c r="X163" s="215"/>
      <c r="Y163" s="215"/>
      <c r="Z163" s="215"/>
      <c r="AA163" s="215"/>
      <c r="AB163" s="215"/>
      <c r="AC163" s="215"/>
      <c r="AD163" s="215"/>
      <c r="AE163" s="215"/>
      <c r="AF163" s="215"/>
      <c r="AG163" s="215"/>
      <c r="AH163" s="215"/>
      <c r="AI163" s="215"/>
      <c r="AJ163" s="215"/>
      <c r="AK163" s="215"/>
      <c r="AL163" s="215"/>
      <c r="AM163" s="215"/>
      <c r="AN163" s="215"/>
      <c r="AO163" s="215"/>
      <c r="AP163" s="215"/>
      <c r="AQ163" s="215"/>
      <c r="AR163" s="215"/>
      <c r="AS163" s="215"/>
      <c r="AT163" s="215"/>
      <c r="AU163" s="215"/>
      <c r="AV163" s="215"/>
      <c r="AW163" s="215"/>
      <c r="AX163" s="215"/>
      <c r="AY163" s="215"/>
      <c r="AZ163" s="215"/>
      <c r="BA163" s="215"/>
      <c r="BB163" s="215"/>
      <c r="BC163" s="215"/>
      <c r="BD163" s="215"/>
      <c r="BE163" s="215"/>
      <c r="BF163" s="215"/>
      <c r="BG163" s="215"/>
    </row>
    <row r="164" spans="1:59" ht="12.75" x14ac:dyDescent="0.2">
      <c r="A164" s="217"/>
      <c r="B164" s="215"/>
      <c r="C164" s="215"/>
      <c r="D164" s="215"/>
      <c r="E164" s="215"/>
      <c r="F164" s="215"/>
      <c r="G164" s="215"/>
      <c r="H164" s="215"/>
      <c r="I164" s="215"/>
      <c r="J164" s="215"/>
      <c r="K164" s="215"/>
      <c r="L164" s="215"/>
      <c r="M164" s="215"/>
      <c r="N164" s="215"/>
      <c r="O164" s="215"/>
      <c r="P164" s="215"/>
      <c r="Q164" s="215"/>
      <c r="R164" s="215"/>
      <c r="S164" s="215"/>
      <c r="T164" s="215"/>
      <c r="U164" s="215"/>
      <c r="V164" s="215"/>
      <c r="W164" s="215"/>
      <c r="X164" s="215"/>
      <c r="Y164" s="215"/>
      <c r="Z164" s="215"/>
      <c r="AA164" s="215"/>
      <c r="AB164" s="215"/>
      <c r="AC164" s="215"/>
      <c r="AD164" s="215"/>
      <c r="AE164" s="215"/>
      <c r="AF164" s="215"/>
      <c r="AG164" s="215"/>
      <c r="AH164" s="215"/>
      <c r="AI164" s="215"/>
      <c r="AJ164" s="215"/>
      <c r="AK164" s="215"/>
      <c r="AL164" s="215"/>
      <c r="AM164" s="215"/>
      <c r="AN164" s="215"/>
      <c r="AO164" s="215"/>
      <c r="AP164" s="215"/>
      <c r="AQ164" s="215"/>
      <c r="AR164" s="215"/>
      <c r="AS164" s="215"/>
      <c r="AT164" s="215"/>
      <c r="AU164" s="215"/>
      <c r="AV164" s="215"/>
      <c r="AW164" s="215"/>
      <c r="AX164" s="215"/>
      <c r="AY164" s="215"/>
      <c r="AZ164" s="215"/>
      <c r="BA164" s="215"/>
      <c r="BB164" s="215"/>
      <c r="BC164" s="215"/>
      <c r="BD164" s="215"/>
      <c r="BE164" s="215"/>
      <c r="BF164" s="215"/>
      <c r="BG164" s="215"/>
    </row>
    <row r="165" spans="1:59" ht="12.75" x14ac:dyDescent="0.2">
      <c r="A165" s="217"/>
      <c r="B165" s="215"/>
      <c r="C165" s="215"/>
      <c r="D165" s="215"/>
      <c r="E165" s="215"/>
      <c r="F165" s="215"/>
      <c r="G165" s="215"/>
      <c r="H165" s="215"/>
      <c r="I165" s="215"/>
      <c r="J165" s="215"/>
      <c r="K165" s="215"/>
      <c r="L165" s="215"/>
      <c r="M165" s="215"/>
      <c r="N165" s="215"/>
      <c r="O165" s="215"/>
      <c r="P165" s="215"/>
      <c r="Q165" s="215"/>
      <c r="R165" s="215"/>
      <c r="S165" s="215"/>
      <c r="T165" s="215"/>
      <c r="U165" s="215"/>
      <c r="V165" s="215"/>
      <c r="W165" s="215"/>
      <c r="X165" s="215"/>
      <c r="Y165" s="215"/>
      <c r="Z165" s="215"/>
      <c r="AA165" s="215"/>
      <c r="AB165" s="215"/>
      <c r="AC165" s="215"/>
      <c r="AD165" s="215"/>
      <c r="AE165" s="215"/>
      <c r="AF165" s="215"/>
      <c r="AG165" s="215"/>
      <c r="AH165" s="215"/>
      <c r="AI165" s="215"/>
      <c r="AJ165" s="215"/>
      <c r="AK165" s="215"/>
      <c r="AL165" s="215"/>
      <c r="AM165" s="215"/>
      <c r="AN165" s="215"/>
      <c r="AO165" s="215"/>
      <c r="AP165" s="215"/>
      <c r="AQ165" s="215"/>
      <c r="AR165" s="215"/>
      <c r="AS165" s="215"/>
      <c r="AT165" s="215"/>
      <c r="AU165" s="215"/>
      <c r="AV165" s="215"/>
      <c r="AW165" s="215"/>
      <c r="AX165" s="215"/>
      <c r="AY165" s="215"/>
      <c r="AZ165" s="215"/>
      <c r="BA165" s="215"/>
      <c r="BB165" s="215"/>
      <c r="BC165" s="215"/>
      <c r="BD165" s="215"/>
      <c r="BE165" s="215"/>
      <c r="BF165" s="215"/>
      <c r="BG165" s="215"/>
    </row>
    <row r="166" spans="1:59" ht="12.75" x14ac:dyDescent="0.2">
      <c r="A166" s="217"/>
      <c r="B166" s="215"/>
      <c r="C166" s="215"/>
      <c r="D166" s="215"/>
      <c r="E166" s="215"/>
      <c r="F166" s="215"/>
      <c r="G166" s="215"/>
      <c r="H166" s="215"/>
      <c r="I166" s="215"/>
      <c r="J166" s="215"/>
      <c r="K166" s="215"/>
      <c r="L166" s="215"/>
      <c r="M166" s="215"/>
      <c r="N166" s="215"/>
      <c r="O166" s="215"/>
      <c r="P166" s="215"/>
      <c r="Q166" s="215"/>
      <c r="R166" s="215"/>
      <c r="S166" s="215"/>
      <c r="T166" s="215"/>
      <c r="U166" s="215"/>
      <c r="V166" s="215"/>
      <c r="W166" s="215"/>
      <c r="X166" s="215"/>
      <c r="Y166" s="215"/>
      <c r="Z166" s="215"/>
      <c r="AA166" s="215"/>
      <c r="AB166" s="215"/>
      <c r="AC166" s="215"/>
      <c r="AD166" s="215"/>
      <c r="AE166" s="215"/>
      <c r="AF166" s="215"/>
      <c r="AG166" s="215"/>
      <c r="AH166" s="215"/>
      <c r="AI166" s="215"/>
      <c r="AJ166" s="215"/>
      <c r="AK166" s="215"/>
      <c r="AL166" s="215"/>
      <c r="AM166" s="215"/>
      <c r="AN166" s="215"/>
      <c r="AO166" s="215"/>
      <c r="AP166" s="215"/>
      <c r="AQ166" s="215"/>
      <c r="AR166" s="215"/>
      <c r="AS166" s="215"/>
      <c r="AT166" s="215"/>
      <c r="AU166" s="215"/>
      <c r="AV166" s="215"/>
      <c r="AW166" s="215"/>
      <c r="AX166" s="215"/>
      <c r="AY166" s="215"/>
      <c r="AZ166" s="215"/>
      <c r="BA166" s="215"/>
      <c r="BB166" s="215"/>
      <c r="BC166" s="215"/>
      <c r="BD166" s="215"/>
      <c r="BE166" s="215"/>
      <c r="BF166" s="215"/>
      <c r="BG166" s="215"/>
    </row>
    <row r="167" spans="1:59" ht="12.75" x14ac:dyDescent="0.2">
      <c r="A167" s="217"/>
      <c r="B167" s="215"/>
      <c r="C167" s="215"/>
      <c r="D167" s="215"/>
      <c r="E167" s="215"/>
      <c r="F167" s="215"/>
      <c r="G167" s="215"/>
      <c r="H167" s="215"/>
      <c r="I167" s="215"/>
      <c r="J167" s="215"/>
      <c r="K167" s="215"/>
      <c r="L167" s="215"/>
      <c r="M167" s="215"/>
      <c r="N167" s="215"/>
      <c r="O167" s="215"/>
      <c r="P167" s="215"/>
      <c r="Q167" s="215"/>
      <c r="R167" s="215"/>
      <c r="S167" s="215"/>
      <c r="T167" s="215"/>
      <c r="U167" s="215"/>
      <c r="V167" s="215"/>
      <c r="W167" s="215"/>
      <c r="X167" s="215"/>
      <c r="Y167" s="215"/>
      <c r="Z167" s="215"/>
      <c r="AA167" s="215"/>
      <c r="AB167" s="215"/>
      <c r="AC167" s="215"/>
      <c r="AD167" s="215"/>
      <c r="AE167" s="215"/>
      <c r="AF167" s="215"/>
      <c r="AG167" s="215"/>
      <c r="AH167" s="215"/>
      <c r="AI167" s="215"/>
      <c r="AJ167" s="215"/>
      <c r="AK167" s="215"/>
      <c r="AL167" s="215"/>
      <c r="AM167" s="215"/>
      <c r="AN167" s="215"/>
      <c r="AO167" s="215"/>
      <c r="AP167" s="215"/>
      <c r="AQ167" s="215"/>
      <c r="AR167" s="215"/>
      <c r="AS167" s="215"/>
      <c r="AT167" s="215"/>
      <c r="AU167" s="215"/>
      <c r="AV167" s="215"/>
      <c r="AW167" s="215"/>
      <c r="AX167" s="215"/>
      <c r="AY167" s="215"/>
      <c r="AZ167" s="215"/>
      <c r="BA167" s="215"/>
      <c r="BB167" s="215"/>
      <c r="BC167" s="215"/>
      <c r="BD167" s="215"/>
      <c r="BE167" s="215"/>
      <c r="BF167" s="215"/>
      <c r="BG167" s="215"/>
    </row>
    <row r="168" spans="1:59" ht="12.75" x14ac:dyDescent="0.2">
      <c r="A168" s="217"/>
      <c r="B168" s="215"/>
      <c r="C168" s="215"/>
      <c r="D168" s="215"/>
      <c r="E168" s="215"/>
      <c r="F168" s="215"/>
      <c r="G168" s="215"/>
      <c r="H168" s="215"/>
      <c r="I168" s="215"/>
      <c r="J168" s="215"/>
      <c r="K168" s="215"/>
      <c r="L168" s="215"/>
      <c r="M168" s="215"/>
      <c r="N168" s="215"/>
      <c r="O168" s="215"/>
      <c r="P168" s="215"/>
      <c r="Q168" s="215"/>
      <c r="R168" s="215"/>
      <c r="S168" s="215"/>
      <c r="T168" s="215"/>
      <c r="U168" s="215"/>
      <c r="V168" s="215"/>
      <c r="W168" s="215"/>
      <c r="X168" s="215"/>
      <c r="Y168" s="215"/>
      <c r="Z168" s="215"/>
      <c r="AA168" s="215"/>
      <c r="AB168" s="215"/>
      <c r="AC168" s="215"/>
      <c r="AD168" s="215"/>
      <c r="AE168" s="215"/>
      <c r="AF168" s="215"/>
      <c r="AG168" s="215"/>
      <c r="AH168" s="215"/>
      <c r="AI168" s="215"/>
      <c r="AJ168" s="215"/>
      <c r="AK168" s="215"/>
      <c r="AL168" s="215"/>
      <c r="AM168" s="215"/>
      <c r="AN168" s="215"/>
      <c r="AO168" s="215"/>
      <c r="AP168" s="215"/>
      <c r="AQ168" s="215"/>
      <c r="AR168" s="215"/>
      <c r="AS168" s="215"/>
      <c r="AT168" s="215"/>
      <c r="AU168" s="215"/>
      <c r="AV168" s="215"/>
      <c r="AW168" s="215"/>
      <c r="AX168" s="215"/>
      <c r="AY168" s="215"/>
      <c r="AZ168" s="215"/>
      <c r="BA168" s="215"/>
      <c r="BB168" s="215"/>
      <c r="BC168" s="215"/>
      <c r="BD168" s="215"/>
      <c r="BE168" s="215"/>
      <c r="BF168" s="215"/>
      <c r="BG168" s="215"/>
    </row>
    <row r="169" spans="1:59" ht="12.75" x14ac:dyDescent="0.2">
      <c r="A169" s="217"/>
      <c r="B169" s="215"/>
      <c r="C169" s="215"/>
      <c r="D169" s="215"/>
      <c r="E169" s="215"/>
      <c r="F169" s="215"/>
      <c r="G169" s="215"/>
      <c r="H169" s="215"/>
      <c r="I169" s="215"/>
      <c r="J169" s="215"/>
      <c r="K169" s="215"/>
      <c r="L169" s="215"/>
      <c r="M169" s="215"/>
      <c r="N169" s="215"/>
      <c r="O169" s="215"/>
      <c r="P169" s="215"/>
      <c r="Q169" s="215"/>
      <c r="R169" s="215"/>
      <c r="S169" s="215"/>
      <c r="T169" s="215"/>
      <c r="U169" s="215"/>
      <c r="V169" s="215"/>
      <c r="W169" s="215"/>
      <c r="X169" s="215"/>
      <c r="Y169" s="215"/>
      <c r="Z169" s="215"/>
      <c r="AA169" s="215"/>
      <c r="AB169" s="215"/>
      <c r="AC169" s="215"/>
      <c r="AD169" s="215"/>
      <c r="AE169" s="215"/>
      <c r="AF169" s="215"/>
      <c r="AG169" s="215"/>
      <c r="AH169" s="215"/>
      <c r="AI169" s="215"/>
      <c r="AJ169" s="215"/>
      <c r="AK169" s="215"/>
      <c r="AL169" s="215"/>
      <c r="AM169" s="215"/>
      <c r="AN169" s="215"/>
      <c r="AO169" s="215"/>
      <c r="AP169" s="215"/>
      <c r="AQ169" s="215"/>
      <c r="AR169" s="215"/>
      <c r="AS169" s="215"/>
      <c r="AT169" s="215"/>
      <c r="AU169" s="215"/>
      <c r="AV169" s="215"/>
      <c r="AW169" s="215"/>
      <c r="AX169" s="215"/>
      <c r="AY169" s="215"/>
      <c r="AZ169" s="215"/>
      <c r="BA169" s="215"/>
      <c r="BB169" s="215"/>
      <c r="BC169" s="215"/>
      <c r="BD169" s="215"/>
      <c r="BE169" s="215"/>
      <c r="BF169" s="215"/>
      <c r="BG169" s="215"/>
    </row>
    <row r="170" spans="1:59" ht="12.75" x14ac:dyDescent="0.2">
      <c r="A170" s="217"/>
      <c r="B170" s="215"/>
      <c r="C170" s="215"/>
      <c r="D170" s="215"/>
      <c r="E170" s="215"/>
      <c r="F170" s="215"/>
      <c r="G170" s="215"/>
      <c r="H170" s="215"/>
      <c r="I170" s="215"/>
      <c r="J170" s="215"/>
      <c r="K170" s="215"/>
      <c r="L170" s="215"/>
      <c r="M170" s="215"/>
      <c r="N170" s="215"/>
      <c r="O170" s="215"/>
      <c r="P170" s="215"/>
      <c r="Q170" s="215"/>
      <c r="R170" s="215"/>
      <c r="S170" s="215"/>
      <c r="T170" s="215"/>
      <c r="U170" s="215"/>
      <c r="V170" s="215"/>
      <c r="W170" s="215"/>
      <c r="X170" s="215"/>
      <c r="Y170" s="215"/>
      <c r="Z170" s="215"/>
      <c r="AA170" s="215"/>
      <c r="AB170" s="215"/>
      <c r="AC170" s="215"/>
      <c r="AD170" s="215"/>
      <c r="AE170" s="215"/>
      <c r="AF170" s="215"/>
      <c r="AG170" s="215"/>
      <c r="AH170" s="215"/>
      <c r="AI170" s="215"/>
      <c r="AJ170" s="215"/>
      <c r="AK170" s="215"/>
      <c r="AL170" s="215"/>
      <c r="AM170" s="215"/>
      <c r="AN170" s="215"/>
      <c r="AO170" s="215"/>
      <c r="AP170" s="215"/>
      <c r="AQ170" s="215"/>
      <c r="AR170" s="215"/>
      <c r="AS170" s="215"/>
      <c r="AT170" s="215"/>
      <c r="AU170" s="215"/>
      <c r="AV170" s="215"/>
      <c r="AW170" s="215"/>
      <c r="AX170" s="215"/>
      <c r="AY170" s="215"/>
      <c r="AZ170" s="215"/>
      <c r="BA170" s="215"/>
      <c r="BB170" s="215"/>
      <c r="BC170" s="215"/>
      <c r="BD170" s="215"/>
      <c r="BE170" s="215"/>
      <c r="BF170" s="215"/>
      <c r="BG170" s="215"/>
    </row>
    <row r="171" spans="1:59" ht="12.75" x14ac:dyDescent="0.2">
      <c r="A171" s="217"/>
      <c r="B171" s="215"/>
      <c r="C171" s="215"/>
      <c r="D171" s="215"/>
      <c r="E171" s="215"/>
      <c r="F171" s="215"/>
      <c r="G171" s="215"/>
      <c r="H171" s="215"/>
      <c r="I171" s="215"/>
      <c r="J171" s="215"/>
      <c r="K171" s="215"/>
      <c r="L171" s="215"/>
      <c r="M171" s="215"/>
      <c r="N171" s="215"/>
      <c r="O171" s="215"/>
      <c r="P171" s="215"/>
      <c r="Q171" s="215"/>
      <c r="R171" s="215"/>
      <c r="S171" s="215"/>
      <c r="T171" s="215"/>
      <c r="U171" s="215"/>
      <c r="V171" s="215"/>
      <c r="W171" s="215"/>
      <c r="X171" s="215"/>
      <c r="Y171" s="215"/>
      <c r="Z171" s="215"/>
      <c r="AA171" s="215"/>
      <c r="AB171" s="215"/>
      <c r="AC171" s="215"/>
      <c r="AD171" s="215"/>
      <c r="AE171" s="215"/>
      <c r="AF171" s="215"/>
      <c r="AG171" s="215"/>
      <c r="AH171" s="215"/>
      <c r="AI171" s="215"/>
      <c r="AJ171" s="215"/>
      <c r="AK171" s="215"/>
      <c r="AL171" s="215"/>
      <c r="AM171" s="215"/>
      <c r="AN171" s="215"/>
      <c r="AO171" s="215"/>
      <c r="AP171" s="215"/>
      <c r="AQ171" s="215"/>
      <c r="AR171" s="215"/>
      <c r="AS171" s="215"/>
      <c r="AT171" s="215"/>
      <c r="AU171" s="215"/>
      <c r="AV171" s="215"/>
      <c r="AW171" s="215"/>
      <c r="AX171" s="215"/>
      <c r="AY171" s="215"/>
      <c r="AZ171" s="215"/>
      <c r="BA171" s="215"/>
      <c r="BB171" s="215"/>
      <c r="BC171" s="215"/>
      <c r="BD171" s="215"/>
      <c r="BE171" s="215"/>
      <c r="BF171" s="215"/>
      <c r="BG171" s="215"/>
    </row>
    <row r="172" spans="1:59" ht="12.75" x14ac:dyDescent="0.2">
      <c r="A172" s="217"/>
      <c r="B172" s="215"/>
      <c r="C172" s="215"/>
      <c r="D172" s="215"/>
      <c r="E172" s="215"/>
      <c r="F172" s="215"/>
      <c r="G172" s="215"/>
      <c r="H172" s="215"/>
      <c r="I172" s="215"/>
      <c r="J172" s="215"/>
      <c r="K172" s="215"/>
      <c r="L172" s="215"/>
      <c r="M172" s="215"/>
      <c r="N172" s="215"/>
      <c r="O172" s="215"/>
      <c r="P172" s="215"/>
      <c r="Q172" s="215"/>
      <c r="R172" s="215"/>
      <c r="S172" s="215"/>
      <c r="T172" s="215"/>
      <c r="U172" s="215"/>
      <c r="V172" s="215"/>
      <c r="W172" s="215"/>
      <c r="X172" s="215"/>
      <c r="Y172" s="215"/>
      <c r="Z172" s="215"/>
      <c r="AA172" s="215"/>
      <c r="AB172" s="215"/>
      <c r="AC172" s="215"/>
      <c r="AD172" s="215"/>
      <c r="AE172" s="215"/>
      <c r="AF172" s="215"/>
      <c r="AG172" s="215"/>
      <c r="AH172" s="215"/>
      <c r="AI172" s="215"/>
      <c r="AJ172" s="215"/>
      <c r="AK172" s="215"/>
      <c r="AL172" s="215"/>
      <c r="AM172" s="215"/>
      <c r="AN172" s="215"/>
      <c r="AO172" s="215"/>
      <c r="AP172" s="215"/>
      <c r="AQ172" s="215"/>
      <c r="AR172" s="215"/>
      <c r="AS172" s="215"/>
      <c r="AT172" s="215"/>
      <c r="AU172" s="215"/>
      <c r="AV172" s="215"/>
      <c r="AW172" s="215"/>
      <c r="AX172" s="215"/>
      <c r="AY172" s="215"/>
      <c r="AZ172" s="215"/>
      <c r="BA172" s="215"/>
      <c r="BB172" s="215"/>
      <c r="BC172" s="215"/>
      <c r="BD172" s="215"/>
      <c r="BE172" s="215"/>
      <c r="BF172" s="215"/>
      <c r="BG172" s="215"/>
    </row>
    <row r="173" spans="1:59" ht="12.75" x14ac:dyDescent="0.2">
      <c r="A173" s="217"/>
      <c r="B173" s="215"/>
      <c r="C173" s="215"/>
      <c r="D173" s="215"/>
      <c r="E173" s="215"/>
      <c r="F173" s="215"/>
      <c r="G173" s="215"/>
      <c r="H173" s="215"/>
      <c r="I173" s="215"/>
      <c r="J173" s="215"/>
      <c r="K173" s="215"/>
      <c r="L173" s="215"/>
      <c r="M173" s="215"/>
      <c r="N173" s="215"/>
      <c r="O173" s="215"/>
      <c r="P173" s="215"/>
      <c r="Q173" s="215"/>
      <c r="R173" s="215"/>
      <c r="S173" s="215"/>
      <c r="T173" s="215"/>
      <c r="U173" s="215"/>
      <c r="V173" s="215"/>
      <c r="W173" s="215"/>
      <c r="X173" s="215"/>
      <c r="Y173" s="215"/>
      <c r="Z173" s="215"/>
      <c r="AA173" s="215"/>
      <c r="AB173" s="215"/>
      <c r="AC173" s="215"/>
      <c r="AD173" s="215"/>
      <c r="AE173" s="215"/>
      <c r="AF173" s="215"/>
      <c r="AG173" s="215"/>
      <c r="AH173" s="215"/>
      <c r="AI173" s="215"/>
      <c r="AJ173" s="215"/>
      <c r="AK173" s="215"/>
      <c r="AL173" s="215"/>
      <c r="AM173" s="215"/>
      <c r="AN173" s="215"/>
      <c r="AO173" s="215"/>
      <c r="AP173" s="215"/>
      <c r="AQ173" s="215"/>
      <c r="AR173" s="215"/>
      <c r="AS173" s="215"/>
      <c r="AT173" s="215"/>
      <c r="AU173" s="215"/>
      <c r="AV173" s="215"/>
      <c r="AW173" s="215"/>
      <c r="AX173" s="215"/>
      <c r="AY173" s="215"/>
      <c r="AZ173" s="215"/>
      <c r="BA173" s="215"/>
      <c r="BB173" s="215"/>
      <c r="BC173" s="215"/>
      <c r="BD173" s="215"/>
      <c r="BE173" s="215"/>
      <c r="BF173" s="215"/>
      <c r="BG173" s="215"/>
    </row>
    <row r="174" spans="1:59" ht="12.75" x14ac:dyDescent="0.2">
      <c r="A174" s="217"/>
      <c r="B174" s="215"/>
      <c r="C174" s="215"/>
      <c r="D174" s="215"/>
      <c r="E174" s="215"/>
      <c r="F174" s="215"/>
      <c r="G174" s="215"/>
      <c r="H174" s="215"/>
      <c r="I174" s="215"/>
      <c r="J174" s="215"/>
      <c r="K174" s="215"/>
      <c r="L174" s="215"/>
      <c r="M174" s="215"/>
      <c r="N174" s="215"/>
      <c r="O174" s="215"/>
      <c r="P174" s="215"/>
      <c r="Q174" s="215"/>
      <c r="R174" s="215"/>
      <c r="S174" s="215"/>
      <c r="T174" s="215"/>
      <c r="U174" s="215"/>
      <c r="V174" s="215"/>
      <c r="W174" s="215"/>
      <c r="X174" s="215"/>
      <c r="Y174" s="215"/>
      <c r="Z174" s="215"/>
      <c r="AA174" s="215"/>
      <c r="AB174" s="215"/>
      <c r="AC174" s="215"/>
      <c r="AD174" s="215"/>
      <c r="AE174" s="215"/>
      <c r="AF174" s="215"/>
      <c r="AG174" s="215"/>
      <c r="AH174" s="215"/>
      <c r="AI174" s="215"/>
      <c r="AJ174" s="215"/>
      <c r="AK174" s="215"/>
      <c r="AL174" s="215"/>
      <c r="AM174" s="215"/>
      <c r="AN174" s="215"/>
      <c r="AO174" s="215"/>
      <c r="AP174" s="215"/>
      <c r="AQ174" s="215"/>
      <c r="AR174" s="215"/>
      <c r="AS174" s="215"/>
      <c r="AT174" s="215"/>
      <c r="AU174" s="215"/>
      <c r="AV174" s="215"/>
      <c r="AW174" s="215"/>
      <c r="AX174" s="215"/>
      <c r="AY174" s="215"/>
      <c r="AZ174" s="215"/>
      <c r="BA174" s="215"/>
      <c r="BB174" s="215"/>
      <c r="BC174" s="215"/>
      <c r="BD174" s="215"/>
      <c r="BE174" s="215"/>
      <c r="BF174" s="215"/>
      <c r="BG174" s="215"/>
    </row>
    <row r="175" spans="1:59" ht="12.75" x14ac:dyDescent="0.2">
      <c r="A175" s="217"/>
      <c r="B175" s="215"/>
      <c r="C175" s="215"/>
      <c r="D175" s="215"/>
      <c r="E175" s="215"/>
      <c r="F175" s="215"/>
      <c r="G175" s="215"/>
      <c r="H175" s="215"/>
      <c r="I175" s="215"/>
      <c r="J175" s="215"/>
      <c r="K175" s="215"/>
      <c r="L175" s="215"/>
      <c r="M175" s="215"/>
      <c r="N175" s="215"/>
      <c r="O175" s="215"/>
      <c r="P175" s="215"/>
      <c r="Q175" s="215"/>
      <c r="R175" s="215"/>
      <c r="S175" s="215"/>
      <c r="T175" s="215"/>
      <c r="U175" s="215"/>
      <c r="V175" s="215"/>
      <c r="W175" s="215"/>
      <c r="X175" s="215"/>
      <c r="Y175" s="215"/>
      <c r="Z175" s="215"/>
      <c r="AA175" s="215"/>
      <c r="AB175" s="215"/>
      <c r="AC175" s="215"/>
      <c r="AD175" s="215"/>
      <c r="AE175" s="215"/>
      <c r="AF175" s="215"/>
      <c r="AG175" s="215"/>
      <c r="AH175" s="215"/>
      <c r="AI175" s="215"/>
      <c r="AJ175" s="215"/>
      <c r="AK175" s="215"/>
      <c r="AL175" s="215"/>
      <c r="AM175" s="215"/>
      <c r="AN175" s="215"/>
      <c r="AO175" s="215"/>
      <c r="AP175" s="215"/>
      <c r="AQ175" s="215"/>
      <c r="AR175" s="215"/>
      <c r="AS175" s="215"/>
      <c r="AT175" s="215"/>
      <c r="AU175" s="215"/>
      <c r="AV175" s="215"/>
      <c r="AW175" s="215"/>
      <c r="AX175" s="215"/>
      <c r="AY175" s="215"/>
      <c r="AZ175" s="215"/>
      <c r="BA175" s="215"/>
      <c r="BB175" s="215"/>
      <c r="BC175" s="215"/>
      <c r="BD175" s="215"/>
      <c r="BE175" s="215"/>
      <c r="BF175" s="215"/>
      <c r="BG175" s="215"/>
    </row>
    <row r="176" spans="1:59" ht="12.75" x14ac:dyDescent="0.2">
      <c r="A176" s="217"/>
      <c r="B176" s="215"/>
      <c r="C176" s="215"/>
      <c r="D176" s="215"/>
      <c r="E176" s="215"/>
      <c r="F176" s="215"/>
      <c r="G176" s="215"/>
      <c r="H176" s="215"/>
      <c r="I176" s="215"/>
      <c r="J176" s="215"/>
      <c r="K176" s="215"/>
      <c r="L176" s="215"/>
      <c r="M176" s="215"/>
      <c r="N176" s="215"/>
      <c r="O176" s="215"/>
      <c r="P176" s="215"/>
      <c r="Q176" s="215"/>
      <c r="R176" s="215"/>
      <c r="S176" s="215"/>
      <c r="T176" s="215"/>
      <c r="U176" s="215"/>
      <c r="V176" s="215"/>
      <c r="W176" s="215"/>
      <c r="X176" s="215"/>
      <c r="Y176" s="215"/>
      <c r="Z176" s="215"/>
      <c r="AA176" s="215"/>
      <c r="AB176" s="215"/>
      <c r="AC176" s="215"/>
      <c r="AD176" s="215"/>
      <c r="AE176" s="215"/>
      <c r="AF176" s="215"/>
      <c r="AG176" s="215"/>
      <c r="AH176" s="215"/>
      <c r="AI176" s="215"/>
      <c r="AJ176" s="215"/>
      <c r="AK176" s="215"/>
      <c r="AL176" s="215"/>
      <c r="AM176" s="215"/>
      <c r="AN176" s="215"/>
      <c r="AO176" s="215"/>
      <c r="AP176" s="215"/>
      <c r="AQ176" s="215"/>
      <c r="AR176" s="215"/>
      <c r="AS176" s="215"/>
      <c r="AT176" s="215"/>
      <c r="AU176" s="215"/>
      <c r="AV176" s="215"/>
      <c r="AW176" s="215"/>
      <c r="AX176" s="215"/>
      <c r="AY176" s="215"/>
      <c r="AZ176" s="215"/>
      <c r="BA176" s="215"/>
      <c r="BB176" s="215"/>
      <c r="BC176" s="215"/>
      <c r="BD176" s="215"/>
      <c r="BE176" s="215"/>
      <c r="BF176" s="215"/>
      <c r="BG176" s="215"/>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100:L100"/>
  </mergeCells>
  <pageMargins left="0.70866141732283472" right="0.70866141732283472" top="0.38" bottom="0.42" header="0.31496062992125984" footer="0.31496062992125984"/>
  <pageSetup paperSize="8" scale="59"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'Приложение № 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2019-10-08T07:30:10Z</cp:lastPrinted>
  <dcterms:created xsi:type="dcterms:W3CDTF">2015-08-16T15:31:05Z</dcterms:created>
  <dcterms:modified xsi:type="dcterms:W3CDTF">2022-03-16T09:19:06Z</dcterms:modified>
</cp:coreProperties>
</file>