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W30" i="15" l="1"/>
  <c r="W52"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30" i="15"/>
  <c r="T30" i="15"/>
  <c r="U29" i="15"/>
  <c r="T29" i="15"/>
  <c r="U28" i="15"/>
  <c r="T28" i="15"/>
  <c r="U27" i="15"/>
  <c r="T27" i="15"/>
  <c r="U26" i="15"/>
  <c r="T26" i="15"/>
  <c r="U25" i="15"/>
  <c r="T25" i="15"/>
  <c r="T24" i="15"/>
  <c r="G50" i="15"/>
  <c r="G57" i="15" s="1"/>
  <c r="G49" i="15"/>
  <c r="G48" i="15"/>
  <c r="G47" i="15"/>
  <c r="G46" i="15"/>
  <c r="G45" i="15"/>
  <c r="G54" i="15" s="1"/>
  <c r="G30" i="15"/>
  <c r="G24" i="15"/>
  <c r="B25" i="54"/>
  <c r="G56" i="15" l="1"/>
  <c r="AD31" i="5"/>
  <c r="B29" i="53" s="1"/>
  <c r="G28" i="5"/>
  <c r="D28" i="5"/>
  <c r="B58" i="53" l="1"/>
  <c r="I30" i="15" l="1"/>
  <c r="J30" i="15"/>
  <c r="K30" i="15"/>
  <c r="L30" i="15"/>
  <c r="M30" i="15"/>
  <c r="N30" i="15"/>
  <c r="O30" i="15"/>
  <c r="P30" i="15"/>
  <c r="Q30" i="15"/>
  <c r="R30" i="15"/>
  <c r="S30" i="15"/>
  <c r="H30" i="15"/>
  <c r="B22" i="53" l="1"/>
  <c r="I26" i="5"/>
  <c r="G26" i="5"/>
  <c r="O27" i="13" l="1"/>
  <c r="C49" i="7" l="1"/>
  <c r="J24" i="15" l="1"/>
  <c r="U24" i="15" s="1"/>
  <c r="W24" i="15" s="1"/>
  <c r="B122" i="54" s="1"/>
  <c r="N24" i="15"/>
  <c r="B83" i="53" l="1"/>
  <c r="B81" i="53"/>
  <c r="B27" i="53" l="1"/>
  <c r="A15" i="54"/>
  <c r="A12" i="54"/>
  <c r="A9" i="54"/>
  <c r="A5" i="54"/>
  <c r="D141" i="54"/>
  <c r="C141" i="54"/>
  <c r="B141" i="54"/>
  <c r="E140" i="54"/>
  <c r="E141" i="54" s="1"/>
  <c r="B73" i="54" s="1"/>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D137" i="54" s="1"/>
  <c r="E137" i="54" s="1"/>
  <c r="F137" i="54" s="1"/>
  <c r="G136" i="54"/>
  <c r="H136" i="54" s="1"/>
  <c r="I136"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B126" i="54"/>
  <c r="B29" i="54" s="1"/>
  <c r="G118" i="54"/>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76" i="54"/>
  <c r="B74" i="54"/>
  <c r="A62" i="54"/>
  <c r="B60" i="54"/>
  <c r="C58" i="54"/>
  <c r="D58" i="54" s="1"/>
  <c r="D74" i="54" s="1"/>
  <c r="B52" i="54"/>
  <c r="C48" i="54"/>
  <c r="B48" i="54"/>
  <c r="B47" i="54"/>
  <c r="B45" i="54"/>
  <c r="B44" i="54"/>
  <c r="B27" i="54"/>
  <c r="B50" i="54" l="1"/>
  <c r="B59" i="54" s="1"/>
  <c r="B66" i="54" s="1"/>
  <c r="B68" i="54" s="1"/>
  <c r="B46" i="54"/>
  <c r="D48" i="54"/>
  <c r="B81" i="54"/>
  <c r="AQ81" i="54" s="1"/>
  <c r="F140" i="54"/>
  <c r="G140" i="54" s="1"/>
  <c r="G137" i="54"/>
  <c r="D49" i="54" s="1"/>
  <c r="C49" i="54"/>
  <c r="J136" i="54"/>
  <c r="F48" i="54"/>
  <c r="H137" i="54"/>
  <c r="E48" i="54"/>
  <c r="B49" i="54"/>
  <c r="B79" i="53"/>
  <c r="B72" i="53"/>
  <c r="B68" i="53"/>
  <c r="B64" i="53"/>
  <c r="B54" i="54"/>
  <c r="B55" i="54" s="1"/>
  <c r="B56" i="54" s="1"/>
  <c r="B69" i="54" s="1"/>
  <c r="B77" i="54" s="1"/>
  <c r="B34" i="53"/>
  <c r="D47" i="54"/>
  <c r="E58" i="54"/>
  <c r="F58" i="54" s="1"/>
  <c r="D52" i="54"/>
  <c r="C74" i="54"/>
  <c r="I118" i="54"/>
  <c r="I120" i="54" s="1"/>
  <c r="C109" i="54" s="1"/>
  <c r="G120" i="54"/>
  <c r="B85" i="54"/>
  <c r="C47" i="54"/>
  <c r="C52" i="54"/>
  <c r="F141" i="54"/>
  <c r="C73" i="54" s="1"/>
  <c r="C85" i="54" s="1"/>
  <c r="C99" i="54" s="1"/>
  <c r="C27" i="6"/>
  <c r="R26" i="14"/>
  <c r="B80" i="54" l="1"/>
  <c r="B99" i="54"/>
  <c r="C61" i="54"/>
  <c r="C60" i="54" s="1"/>
  <c r="B79" i="54"/>
  <c r="C53" i="54"/>
  <c r="C55" i="54" s="1"/>
  <c r="D53" i="54" s="1"/>
  <c r="D61" i="54"/>
  <c r="D60" i="54" s="1"/>
  <c r="I137" i="54"/>
  <c r="E49" i="54"/>
  <c r="K136" i="54"/>
  <c r="G48" i="54"/>
  <c r="E47" i="54"/>
  <c r="C67" i="54"/>
  <c r="F76" i="54" s="1"/>
  <c r="E52" i="54"/>
  <c r="B82" i="54"/>
  <c r="E74" i="54"/>
  <c r="H140" i="54"/>
  <c r="H141" i="54" s="1"/>
  <c r="E73" i="54" s="1"/>
  <c r="E85" i="54" s="1"/>
  <c r="E99" i="54" s="1"/>
  <c r="D109" i="54"/>
  <c r="C108" i="54"/>
  <c r="C50" i="54" s="1"/>
  <c r="C59" i="54" s="1"/>
  <c r="F74" i="54"/>
  <c r="G58" i="54"/>
  <c r="F52" i="54"/>
  <c r="F47" i="54"/>
  <c r="G141" i="54"/>
  <c r="D73" i="54" s="1"/>
  <c r="D85" i="54" s="1"/>
  <c r="D99" i="54" s="1"/>
  <c r="B75" i="54"/>
  <c r="B70" i="54"/>
  <c r="A5" i="53"/>
  <c r="E61" i="54" l="1"/>
  <c r="E60" i="54" s="1"/>
  <c r="L136" i="54"/>
  <c r="H48" i="54"/>
  <c r="J137" i="54"/>
  <c r="F49" i="54"/>
  <c r="F61" i="54" s="1"/>
  <c r="F60" i="54" s="1"/>
  <c r="D67" i="54"/>
  <c r="D76" i="54" s="1"/>
  <c r="C76" i="54"/>
  <c r="C80" i="54"/>
  <c r="C66" i="54"/>
  <c r="C68" i="54" s="1"/>
  <c r="C79" i="54"/>
  <c r="C82" i="54"/>
  <c r="C56" i="54"/>
  <c r="C69" i="54" s="1"/>
  <c r="C77" i="54" s="1"/>
  <c r="B71" i="54"/>
  <c r="B72" i="54" s="1"/>
  <c r="D108" i="54"/>
  <c r="D50" i="54" s="1"/>
  <c r="D59" i="54" s="1"/>
  <c r="E109" i="54"/>
  <c r="D55" i="54"/>
  <c r="E53" i="54" s="1"/>
  <c r="G74" i="54"/>
  <c r="H58" i="54"/>
  <c r="G52" i="54"/>
  <c r="G47" i="54"/>
  <c r="I140" i="54"/>
  <c r="I141" i="54" s="1"/>
  <c r="F73" i="54" s="1"/>
  <c r="F85" i="54" s="1"/>
  <c r="F99" i="54" s="1"/>
  <c r="E67" i="54" l="1"/>
  <c r="F67" i="54" s="1"/>
  <c r="K137" i="54"/>
  <c r="G49" i="54"/>
  <c r="G61" i="54" s="1"/>
  <c r="G60" i="54" s="1"/>
  <c r="M136" i="54"/>
  <c r="I48" i="54"/>
  <c r="E55" i="54"/>
  <c r="F53" i="54" s="1"/>
  <c r="C75" i="54"/>
  <c r="C70" i="54"/>
  <c r="H74" i="54"/>
  <c r="H52" i="54"/>
  <c r="H47" i="54"/>
  <c r="I58" i="54"/>
  <c r="D80" i="54"/>
  <c r="D66" i="54"/>
  <c r="D68" i="54" s="1"/>
  <c r="D79" i="54"/>
  <c r="E108" i="54"/>
  <c r="E50" i="54" s="1"/>
  <c r="E59" i="54" s="1"/>
  <c r="F109" i="54"/>
  <c r="J140" i="54"/>
  <c r="D82" i="54"/>
  <c r="D56" i="54"/>
  <c r="D69" i="54" s="1"/>
  <c r="D77" i="54" s="1"/>
  <c r="B78" i="54"/>
  <c r="B83" i="54" s="1"/>
  <c r="D24" i="15"/>
  <c r="E24" i="15"/>
  <c r="F24" i="15"/>
  <c r="H24" i="15"/>
  <c r="I24" i="15"/>
  <c r="K24" i="15"/>
  <c r="L24" i="15"/>
  <c r="M24" i="15"/>
  <c r="O24" i="15"/>
  <c r="P24" i="15"/>
  <c r="Q24" i="15"/>
  <c r="R24" i="15"/>
  <c r="S24" i="15"/>
  <c r="C48" i="7"/>
  <c r="C24" i="15"/>
  <c r="A15" i="53"/>
  <c r="B21" i="53" s="1"/>
  <c r="A12" i="53"/>
  <c r="A9" i="53"/>
  <c r="B60" i="53"/>
  <c r="B82" i="53"/>
  <c r="B80" i="53"/>
  <c r="B41" i="53"/>
  <c r="B32" i="53"/>
  <c r="B47" i="53"/>
  <c r="B55" i="53"/>
  <c r="B38" i="53"/>
  <c r="B43" i="53"/>
  <c r="B51" i="53"/>
  <c r="J23" i="12"/>
  <c r="C23" i="6" s="1"/>
  <c r="H23" i="12"/>
  <c r="C40" i="7" s="1"/>
  <c r="S23" i="12"/>
  <c r="A15" i="12"/>
  <c r="A8" i="17"/>
  <c r="E9" i="14"/>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6" i="54" l="1"/>
  <c r="B30" i="53"/>
  <c r="N136" i="54"/>
  <c r="J48" i="54"/>
  <c r="H49" i="54"/>
  <c r="H61" i="54" s="1"/>
  <c r="H60" i="54" s="1"/>
  <c r="L137" i="54"/>
  <c r="I119" i="54"/>
  <c r="G119" i="54" s="1"/>
  <c r="B86" i="54"/>
  <c r="B84" i="54"/>
  <c r="B89" i="54" s="1"/>
  <c r="B88" i="54"/>
  <c r="K140" i="54"/>
  <c r="G67" i="54"/>
  <c r="J58" i="54"/>
  <c r="I52" i="54"/>
  <c r="I47" i="54"/>
  <c r="I74" i="54"/>
  <c r="C71" i="54"/>
  <c r="J141" i="54"/>
  <c r="G73" i="54" s="1"/>
  <c r="G85" i="54" s="1"/>
  <c r="G99" i="54" s="1"/>
  <c r="G109" i="54"/>
  <c r="F108" i="54"/>
  <c r="F50" i="54" s="1"/>
  <c r="F59" i="54" s="1"/>
  <c r="F55" i="54"/>
  <c r="E80" i="54"/>
  <c r="E66" i="54"/>
  <c r="E68" i="54" s="1"/>
  <c r="E79" i="54"/>
  <c r="D70" i="54"/>
  <c r="D75" i="54"/>
  <c r="E82" i="54"/>
  <c r="E56" i="54"/>
  <c r="E69" i="54" s="1"/>
  <c r="E77" i="54" s="1"/>
  <c r="B75" i="53" l="1"/>
  <c r="M137" i="54"/>
  <c r="I49" i="54"/>
  <c r="I61" i="54" s="1"/>
  <c r="I60" i="54" s="1"/>
  <c r="O136" i="54"/>
  <c r="K48" i="54"/>
  <c r="F82" i="54"/>
  <c r="F56" i="54"/>
  <c r="F69" i="54" s="1"/>
  <c r="F77" i="54" s="1"/>
  <c r="H109" i="54"/>
  <c r="G108" i="54"/>
  <c r="G50" i="54" s="1"/>
  <c r="G59" i="54" s="1"/>
  <c r="C78" i="54"/>
  <c r="C83" i="54" s="1"/>
  <c r="K58" i="54"/>
  <c r="J52" i="54"/>
  <c r="J47" i="54"/>
  <c r="J74" i="54"/>
  <c r="G76" i="54"/>
  <c r="H67" i="54"/>
  <c r="E70" i="54"/>
  <c r="E75" i="54"/>
  <c r="G53" i="54"/>
  <c r="L140" i="54"/>
  <c r="K141" i="54"/>
  <c r="H73" i="54" s="1"/>
  <c r="H85" i="54" s="1"/>
  <c r="H99" i="54" s="1"/>
  <c r="B87" i="54"/>
  <c r="B90" i="54" s="1"/>
  <c r="D71" i="54"/>
  <c r="F80" i="54"/>
  <c r="F66" i="54"/>
  <c r="F68" i="54" s="1"/>
  <c r="F79" i="54"/>
  <c r="C72" i="54"/>
  <c r="P136" i="54" l="1"/>
  <c r="L48" i="54"/>
  <c r="J49" i="54"/>
  <c r="J61" i="54" s="1"/>
  <c r="J60" i="54" s="1"/>
  <c r="N137" i="54"/>
  <c r="M140" i="54"/>
  <c r="M141" i="54" s="1"/>
  <c r="J73" i="54" s="1"/>
  <c r="J85" i="54" s="1"/>
  <c r="J99" i="54" s="1"/>
  <c r="E71" i="54"/>
  <c r="K74" i="54"/>
  <c r="L58" i="54"/>
  <c r="K52" i="54"/>
  <c r="K47" i="54"/>
  <c r="F75" i="54"/>
  <c r="F70" i="54"/>
  <c r="D72" i="54"/>
  <c r="L141" i="54"/>
  <c r="I73" i="54" s="1"/>
  <c r="I85" i="54" s="1"/>
  <c r="I99" i="54" s="1"/>
  <c r="C86" i="54"/>
  <c r="C88" i="54"/>
  <c r="C84" i="54"/>
  <c r="C89" i="54" s="1"/>
  <c r="G66" i="54"/>
  <c r="G68" i="54" s="1"/>
  <c r="G80" i="54"/>
  <c r="G79" i="54"/>
  <c r="G55" i="54"/>
  <c r="H53" i="54" s="1"/>
  <c r="I109" i="54"/>
  <c r="H108" i="54"/>
  <c r="H50" i="54" s="1"/>
  <c r="H59" i="54" s="1"/>
  <c r="H76" i="54"/>
  <c r="I67" i="54"/>
  <c r="D78" i="54"/>
  <c r="D83" i="54" s="1"/>
  <c r="D86" i="54" s="1"/>
  <c r="K49" i="54" l="1"/>
  <c r="K61" i="54" s="1"/>
  <c r="K60" i="54" s="1"/>
  <c r="O137" i="54"/>
  <c r="Q136" i="54"/>
  <c r="M48" i="54"/>
  <c r="H55" i="54"/>
  <c r="I53" i="54" s="1"/>
  <c r="G75" i="54"/>
  <c r="D88" i="54"/>
  <c r="G82" i="54"/>
  <c r="G56" i="54"/>
  <c r="G69" i="54" s="1"/>
  <c r="G77" i="54" s="1"/>
  <c r="L74" i="54"/>
  <c r="L47" i="54"/>
  <c r="M58" i="54"/>
  <c r="L52" i="54"/>
  <c r="H80" i="54"/>
  <c r="H66" i="54"/>
  <c r="H68" i="54" s="1"/>
  <c r="H79" i="54"/>
  <c r="E78" i="54"/>
  <c r="E83" i="54" s="1"/>
  <c r="N140" i="54"/>
  <c r="N141" i="54" s="1"/>
  <c r="K73" i="54" s="1"/>
  <c r="K85" i="54" s="1"/>
  <c r="K99" i="54" s="1"/>
  <c r="J67" i="54"/>
  <c r="I76" i="54"/>
  <c r="I108" i="54"/>
  <c r="I50" i="54" s="1"/>
  <c r="I59" i="54" s="1"/>
  <c r="J109" i="54"/>
  <c r="D84" i="54"/>
  <c r="D89" i="54" s="1"/>
  <c r="D87" i="54"/>
  <c r="C87" i="54"/>
  <c r="C90" i="54" s="1"/>
  <c r="F71" i="54"/>
  <c r="E72" i="54"/>
  <c r="R136" i="54" l="1"/>
  <c r="N48" i="54"/>
  <c r="P137" i="54"/>
  <c r="L49" i="54"/>
  <c r="L61" i="54" s="1"/>
  <c r="L60" i="54" s="1"/>
  <c r="F78" i="54"/>
  <c r="F83" i="54" s="1"/>
  <c r="I80" i="54"/>
  <c r="I66" i="54"/>
  <c r="I68" i="54" s="1"/>
  <c r="J76" i="54"/>
  <c r="K67" i="54"/>
  <c r="E86" i="54"/>
  <c r="E88" i="54"/>
  <c r="M74" i="54"/>
  <c r="M47" i="54"/>
  <c r="N58" i="54"/>
  <c r="M52" i="54"/>
  <c r="F72" i="54"/>
  <c r="H75" i="54"/>
  <c r="I55" i="54"/>
  <c r="J53" i="54" s="1"/>
  <c r="E84" i="54"/>
  <c r="E89" i="54" s="1"/>
  <c r="O140" i="54"/>
  <c r="O141" i="54" s="1"/>
  <c r="L73" i="54" s="1"/>
  <c r="L85" i="54" s="1"/>
  <c r="L99" i="54" s="1"/>
  <c r="G70" i="54"/>
  <c r="H82" i="54"/>
  <c r="H56" i="54"/>
  <c r="H69" i="54" s="1"/>
  <c r="H77" i="54" s="1"/>
  <c r="D90" i="54"/>
  <c r="K109" i="54"/>
  <c r="J108" i="54"/>
  <c r="J50" i="54" s="1"/>
  <c r="J59" i="54" s="1"/>
  <c r="I79" i="54"/>
  <c r="Q137" i="54" l="1"/>
  <c r="M49" i="54"/>
  <c r="M61" i="54" s="1"/>
  <c r="M60" i="54" s="1"/>
  <c r="S136" i="54"/>
  <c r="O48" i="54"/>
  <c r="E87" i="54"/>
  <c r="E90" i="54" s="1"/>
  <c r="F86" i="54"/>
  <c r="J80" i="54"/>
  <c r="J66" i="54"/>
  <c r="J68" i="54" s="1"/>
  <c r="J79" i="54"/>
  <c r="J55" i="54"/>
  <c r="L109" i="54"/>
  <c r="K108" i="54"/>
  <c r="K50" i="54" s="1"/>
  <c r="K59" i="54" s="1"/>
  <c r="G71" i="54"/>
  <c r="G72" i="54" s="1"/>
  <c r="I82" i="54"/>
  <c r="I56" i="54"/>
  <c r="I69" i="54" s="1"/>
  <c r="I77" i="54" s="1"/>
  <c r="F88" i="54"/>
  <c r="P140" i="54"/>
  <c r="P141" i="54" s="1"/>
  <c r="M73" i="54" s="1"/>
  <c r="M85" i="54" s="1"/>
  <c r="M99" i="54" s="1"/>
  <c r="H70" i="54"/>
  <c r="K76" i="54"/>
  <c r="L67" i="54"/>
  <c r="F84" i="54"/>
  <c r="F89" i="54" s="1"/>
  <c r="N74" i="54"/>
  <c r="O58" i="54"/>
  <c r="N52" i="54"/>
  <c r="N47" i="54"/>
  <c r="I75" i="54"/>
  <c r="T136" i="54" l="1"/>
  <c r="P48" i="54"/>
  <c r="N49" i="54"/>
  <c r="R137" i="54"/>
  <c r="N61" i="54"/>
  <c r="N60" i="54" s="1"/>
  <c r="I70" i="54"/>
  <c r="I71" i="54" s="1"/>
  <c r="I72" i="54" s="1"/>
  <c r="J75" i="54"/>
  <c r="J82" i="54"/>
  <c r="J56" i="54"/>
  <c r="J69" i="54" s="1"/>
  <c r="J77" i="54" s="1"/>
  <c r="P58" i="54"/>
  <c r="O52" i="54"/>
  <c r="O47" i="54"/>
  <c r="O74" i="54"/>
  <c r="M67" i="54"/>
  <c r="L76" i="54"/>
  <c r="H71" i="54"/>
  <c r="H72" i="54" s="1"/>
  <c r="K80" i="54"/>
  <c r="K66" i="54"/>
  <c r="K68" i="54" s="1"/>
  <c r="K79" i="54"/>
  <c r="K53" i="54"/>
  <c r="Q140" i="54"/>
  <c r="Q141" i="54" s="1"/>
  <c r="N73" i="54" s="1"/>
  <c r="N85" i="54" s="1"/>
  <c r="N99" i="54" s="1"/>
  <c r="G78" i="54"/>
  <c r="G83" i="54" s="1"/>
  <c r="M109" i="54"/>
  <c r="L108" i="54"/>
  <c r="L50" i="54" s="1"/>
  <c r="L59" i="54" s="1"/>
  <c r="F87" i="54"/>
  <c r="F90" i="54" s="1"/>
  <c r="S137" i="54" l="1"/>
  <c r="O49" i="54"/>
  <c r="O61" i="54" s="1"/>
  <c r="O60" i="54" s="1"/>
  <c r="U136" i="54"/>
  <c r="Q48" i="54"/>
  <c r="H78" i="54"/>
  <c r="H83" i="54" s="1"/>
  <c r="H86" i="54" s="1"/>
  <c r="J70" i="54"/>
  <c r="J71" i="54" s="1"/>
  <c r="J72" i="54" s="1"/>
  <c r="K55" i="54"/>
  <c r="L80" i="54"/>
  <c r="L66" i="54"/>
  <c r="L68" i="54" s="1"/>
  <c r="L79" i="54"/>
  <c r="N67" i="54"/>
  <c r="M76" i="54"/>
  <c r="P74" i="54"/>
  <c r="Q58" i="54"/>
  <c r="P52" i="54"/>
  <c r="P47" i="54"/>
  <c r="M108" i="54"/>
  <c r="M50" i="54" s="1"/>
  <c r="M59" i="54" s="1"/>
  <c r="N109" i="54"/>
  <c r="G86" i="54"/>
  <c r="G88" i="54"/>
  <c r="G84" i="54"/>
  <c r="G89" i="54" s="1"/>
  <c r="K75" i="54"/>
  <c r="R140" i="54"/>
  <c r="V136" i="54" l="1"/>
  <c r="R48" i="54"/>
  <c r="H88" i="54"/>
  <c r="P49" i="54"/>
  <c r="P61" i="54" s="1"/>
  <c r="P60" i="54" s="1"/>
  <c r="T137" i="54"/>
  <c r="H84" i="54"/>
  <c r="H89" i="54" s="1"/>
  <c r="I78" i="54"/>
  <c r="I83" i="54" s="1"/>
  <c r="I88" i="54" s="1"/>
  <c r="S140" i="54"/>
  <c r="M80" i="54"/>
  <c r="M66" i="54"/>
  <c r="M68" i="54" s="1"/>
  <c r="M79" i="54"/>
  <c r="N76" i="54"/>
  <c r="O67" i="54"/>
  <c r="L75" i="54"/>
  <c r="K82" i="54"/>
  <c r="K56" i="54"/>
  <c r="K69" i="54" s="1"/>
  <c r="R141" i="54"/>
  <c r="O73" i="54" s="1"/>
  <c r="O85" i="54" s="1"/>
  <c r="O99" i="54" s="1"/>
  <c r="N108" i="54"/>
  <c r="N50" i="54" s="1"/>
  <c r="N59" i="54" s="1"/>
  <c r="O109" i="54"/>
  <c r="L53" i="54"/>
  <c r="G87" i="54"/>
  <c r="G90" i="54" s="1"/>
  <c r="H87" i="54"/>
  <c r="R58" i="54"/>
  <c r="Q74" i="54"/>
  <c r="Q52" i="54"/>
  <c r="Q47" i="54"/>
  <c r="U137" i="54" l="1"/>
  <c r="Q49" i="54"/>
  <c r="Q61" i="54" s="1"/>
  <c r="Q60" i="54" s="1"/>
  <c r="I84" i="54"/>
  <c r="I89" i="54" s="1"/>
  <c r="W136" i="54"/>
  <c r="S48" i="54"/>
  <c r="I86" i="54"/>
  <c r="I87" i="54" s="1"/>
  <c r="I90" i="54" s="1"/>
  <c r="J78" i="54"/>
  <c r="J83" i="54" s="1"/>
  <c r="J86" i="54" s="1"/>
  <c r="L55" i="54"/>
  <c r="M53" i="54" s="1"/>
  <c r="K77" i="54"/>
  <c r="K70" i="54"/>
  <c r="O76" i="54"/>
  <c r="P67" i="54"/>
  <c r="H90" i="54"/>
  <c r="P109" i="54"/>
  <c r="O108" i="54"/>
  <c r="O50" i="54" s="1"/>
  <c r="O59" i="54" s="1"/>
  <c r="T140" i="54"/>
  <c r="T141" i="54" s="1"/>
  <c r="Q73" i="54" s="1"/>
  <c r="Q85" i="54" s="1"/>
  <c r="Q99" i="54" s="1"/>
  <c r="N80" i="54"/>
  <c r="N66" i="54"/>
  <c r="N68" i="54" s="1"/>
  <c r="N79" i="54"/>
  <c r="S141" i="54"/>
  <c r="P73" i="54" s="1"/>
  <c r="P85" i="54" s="1"/>
  <c r="P99" i="54" s="1"/>
  <c r="R52" i="54"/>
  <c r="R47" i="54"/>
  <c r="R74" i="54"/>
  <c r="S58" i="54"/>
  <c r="M75" i="54"/>
  <c r="J84" i="54" l="1"/>
  <c r="J89" i="54" s="1"/>
  <c r="V137" i="54"/>
  <c r="R49" i="54"/>
  <c r="R61" i="54" s="1"/>
  <c r="R60" i="54" s="1"/>
  <c r="J88" i="54"/>
  <c r="X136" i="54"/>
  <c r="T48" i="54"/>
  <c r="Q109" i="54"/>
  <c r="P108" i="54"/>
  <c r="P50" i="54" s="1"/>
  <c r="P59" i="54" s="1"/>
  <c r="K71" i="54"/>
  <c r="K78" i="54" s="1"/>
  <c r="K83" i="54" s="1"/>
  <c r="M55" i="54"/>
  <c r="N53" i="54" s="1"/>
  <c r="L56" i="54"/>
  <c r="L69" i="54" s="1"/>
  <c r="L82" i="54"/>
  <c r="S52" i="54"/>
  <c r="S47" i="54"/>
  <c r="S74" i="54"/>
  <c r="T58" i="54"/>
  <c r="U140" i="54"/>
  <c r="U141" i="54" s="1"/>
  <c r="R73" i="54" s="1"/>
  <c r="R85" i="54" s="1"/>
  <c r="R99" i="54" s="1"/>
  <c r="P76" i="54"/>
  <c r="Q67" i="54"/>
  <c r="J87" i="54"/>
  <c r="J90" i="54" s="1"/>
  <c r="N75" i="54"/>
  <c r="O80" i="54"/>
  <c r="O66" i="54"/>
  <c r="O68" i="54" s="1"/>
  <c r="O79" i="54"/>
  <c r="S49" i="54" l="1"/>
  <c r="S61" i="54" s="1"/>
  <c r="S60" i="54" s="1"/>
  <c r="W137" i="54"/>
  <c r="Y136" i="54"/>
  <c r="U48" i="54"/>
  <c r="K86" i="54"/>
  <c r="K87" i="54" s="1"/>
  <c r="K90" i="54" s="1"/>
  <c r="K84" i="54"/>
  <c r="K89" i="54" s="1"/>
  <c r="K88" i="54"/>
  <c r="R67" i="54"/>
  <c r="Q76" i="54"/>
  <c r="T74" i="54"/>
  <c r="U58" i="54"/>
  <c r="T47" i="54"/>
  <c r="T52" i="54"/>
  <c r="L77" i="54"/>
  <c r="L70" i="54"/>
  <c r="N55" i="54"/>
  <c r="O53" i="54" s="1"/>
  <c r="P80" i="54"/>
  <c r="P66" i="54"/>
  <c r="P68" i="54" s="1"/>
  <c r="P79" i="54"/>
  <c r="M82" i="54"/>
  <c r="M56" i="54"/>
  <c r="M69" i="54" s="1"/>
  <c r="R109" i="54"/>
  <c r="Q108" i="54"/>
  <c r="Q50" i="54" s="1"/>
  <c r="Q59" i="54" s="1"/>
  <c r="O75" i="54"/>
  <c r="V140" i="54"/>
  <c r="V141" i="54" s="1"/>
  <c r="S73" i="54" s="1"/>
  <c r="S85" i="54" s="1"/>
  <c r="S99" i="54" s="1"/>
  <c r="K72" i="54"/>
  <c r="Z136" i="54" l="1"/>
  <c r="V48" i="54"/>
  <c r="T49" i="54"/>
  <c r="T61" i="54" s="1"/>
  <c r="T60" i="54" s="1"/>
  <c r="X137" i="54"/>
  <c r="Q66" i="54"/>
  <c r="Q68" i="54" s="1"/>
  <c r="Q80" i="54"/>
  <c r="Q79" i="54"/>
  <c r="O55" i="54"/>
  <c r="P53" i="54" s="1"/>
  <c r="V58" i="54"/>
  <c r="U74" i="54"/>
  <c r="U52" i="54"/>
  <c r="U47" i="54"/>
  <c r="W140" i="54"/>
  <c r="S109" i="54"/>
  <c r="R108" i="54"/>
  <c r="R50" i="54" s="1"/>
  <c r="R59" i="54" s="1"/>
  <c r="P75" i="54"/>
  <c r="L71" i="54"/>
  <c r="L78" i="54" s="1"/>
  <c r="L83" i="54" s="1"/>
  <c r="M77" i="54"/>
  <c r="M70" i="54"/>
  <c r="N82" i="54"/>
  <c r="N56" i="54"/>
  <c r="N69" i="54" s="1"/>
  <c r="R76" i="54"/>
  <c r="S67" i="54"/>
  <c r="U49" i="54" l="1"/>
  <c r="U61" i="54" s="1"/>
  <c r="U60" i="54" s="1"/>
  <c r="Y137" i="54"/>
  <c r="AA136" i="54"/>
  <c r="W48" i="54"/>
  <c r="L72" i="54"/>
  <c r="S76" i="54"/>
  <c r="T67" i="54"/>
  <c r="X140" i="54"/>
  <c r="X141" i="54" s="1"/>
  <c r="U73" i="54" s="1"/>
  <c r="U85" i="54" s="1"/>
  <c r="U99" i="54" s="1"/>
  <c r="L86" i="54"/>
  <c r="L87" i="54" s="1"/>
  <c r="L84" i="54"/>
  <c r="L89" i="54" s="1"/>
  <c r="G28" i="54" s="1"/>
  <c r="C105" i="54" s="1"/>
  <c r="L88" i="54"/>
  <c r="B105" i="54" s="1"/>
  <c r="W141" i="54"/>
  <c r="T73" i="54" s="1"/>
  <c r="T85" i="54" s="1"/>
  <c r="T99" i="54" s="1"/>
  <c r="V74" i="54"/>
  <c r="V52" i="54"/>
  <c r="V47" i="54"/>
  <c r="W58" i="54"/>
  <c r="N77" i="54"/>
  <c r="N70" i="54"/>
  <c r="M71" i="54"/>
  <c r="M78" i="54" s="1"/>
  <c r="M83" i="54" s="1"/>
  <c r="R80" i="54"/>
  <c r="R66" i="54"/>
  <c r="R68" i="54" s="1"/>
  <c r="R79" i="54"/>
  <c r="P55" i="54"/>
  <c r="Q75" i="54"/>
  <c r="T109" i="54"/>
  <c r="S108" i="54"/>
  <c r="S50" i="54" s="1"/>
  <c r="S59" i="54" s="1"/>
  <c r="O82" i="54"/>
  <c r="O56" i="54"/>
  <c r="O69" i="54" s="1"/>
  <c r="AB136" i="54" l="1"/>
  <c r="X48" i="54"/>
  <c r="Z137" i="54"/>
  <c r="V49" i="54"/>
  <c r="V61" i="54" s="1"/>
  <c r="V60" i="54" s="1"/>
  <c r="O77" i="54"/>
  <c r="O70" i="54"/>
  <c r="M86" i="54"/>
  <c r="M87" i="54" s="1"/>
  <c r="M90" i="54" s="1"/>
  <c r="M84" i="54"/>
  <c r="M89" i="54" s="1"/>
  <c r="M88" i="54"/>
  <c r="P82" i="54"/>
  <c r="P56" i="54"/>
  <c r="P69" i="54" s="1"/>
  <c r="W52" i="54"/>
  <c r="W47" i="54"/>
  <c r="X58" i="54"/>
  <c r="W74" i="54"/>
  <c r="M72" i="54"/>
  <c r="L90" i="54"/>
  <c r="G29" i="54" s="1"/>
  <c r="D105" i="54" s="1"/>
  <c r="G30" i="54"/>
  <c r="A105" i="54" s="1"/>
  <c r="T76" i="54"/>
  <c r="U67" i="54"/>
  <c r="S80" i="54"/>
  <c r="S66" i="54"/>
  <c r="S68" i="54" s="1"/>
  <c r="S79" i="54"/>
  <c r="R75" i="54"/>
  <c r="N71" i="54"/>
  <c r="N78" i="54" s="1"/>
  <c r="N83" i="54" s="1"/>
  <c r="T108" i="54"/>
  <c r="T50" i="54" s="1"/>
  <c r="T59" i="54" s="1"/>
  <c r="U109" i="54"/>
  <c r="Q53" i="54"/>
  <c r="Y140" i="54"/>
  <c r="AA137" i="54" l="1"/>
  <c r="W49" i="54"/>
  <c r="W61" i="54" s="1"/>
  <c r="W60" i="54" s="1"/>
  <c r="AC136" i="54"/>
  <c r="Y48" i="54"/>
  <c r="N72" i="54"/>
  <c r="Z140" i="54"/>
  <c r="T80" i="54"/>
  <c r="T66" i="54"/>
  <c r="T68" i="54" s="1"/>
  <c r="T79" i="54"/>
  <c r="P77" i="54"/>
  <c r="P70" i="54"/>
  <c r="N86" i="54"/>
  <c r="N87" i="54" s="1"/>
  <c r="N90" i="54" s="1"/>
  <c r="N84" i="54"/>
  <c r="N89" i="54" s="1"/>
  <c r="N88" i="54"/>
  <c r="S75" i="54"/>
  <c r="X74" i="54"/>
  <c r="Y58" i="54"/>
  <c r="X52" i="54"/>
  <c r="X47" i="54"/>
  <c r="O71" i="54"/>
  <c r="O78" i="54" s="1"/>
  <c r="O83" i="54" s="1"/>
  <c r="Q55" i="54"/>
  <c r="Y141" i="54"/>
  <c r="V73" i="54" s="1"/>
  <c r="V85" i="54" s="1"/>
  <c r="V99" i="54" s="1"/>
  <c r="U108" i="54"/>
  <c r="U50" i="54" s="1"/>
  <c r="U59" i="54" s="1"/>
  <c r="V109" i="54"/>
  <c r="V67" i="54"/>
  <c r="U76" i="54"/>
  <c r="AD136" i="54" l="1"/>
  <c r="Z48" i="54"/>
  <c r="AB137" i="54"/>
  <c r="X49" i="54"/>
  <c r="X61" i="54" s="1"/>
  <c r="X60" i="54" s="1"/>
  <c r="O72" i="54"/>
  <c r="O86" i="54"/>
  <c r="O87" i="54" s="1"/>
  <c r="O90" i="54" s="1"/>
  <c r="O88" i="54"/>
  <c r="O84" i="54"/>
  <c r="O89" i="54" s="1"/>
  <c r="W109" i="54"/>
  <c r="V108" i="54"/>
  <c r="V50" i="54" s="1"/>
  <c r="V59" i="54" s="1"/>
  <c r="Q82" i="54"/>
  <c r="Q56" i="54"/>
  <c r="Q69" i="54" s="1"/>
  <c r="P71" i="54"/>
  <c r="P78" i="54" s="1"/>
  <c r="P83" i="54" s="1"/>
  <c r="U80" i="54"/>
  <c r="U66" i="54"/>
  <c r="U68" i="54" s="1"/>
  <c r="U79" i="54"/>
  <c r="Z58" i="54"/>
  <c r="Y47" i="54"/>
  <c r="Y74" i="54"/>
  <c r="Y52" i="54"/>
  <c r="AA140" i="54"/>
  <c r="AA141" i="54" s="1"/>
  <c r="X73" i="54" s="1"/>
  <c r="X85" i="54" s="1"/>
  <c r="X99" i="54" s="1"/>
  <c r="Z141" i="54"/>
  <c r="W73" i="54" s="1"/>
  <c r="W85" i="54" s="1"/>
  <c r="W99" i="54" s="1"/>
  <c r="V76" i="54"/>
  <c r="W67" i="54"/>
  <c r="R53" i="54"/>
  <c r="T75" i="54"/>
  <c r="Y49" i="54" l="1"/>
  <c r="AC137" i="54"/>
  <c r="AE136" i="54"/>
  <c r="AA48" i="54"/>
  <c r="Y61" i="54"/>
  <c r="Y60" i="54" s="1"/>
  <c r="P72" i="54"/>
  <c r="Q77" i="54"/>
  <c r="Q70" i="54"/>
  <c r="R55" i="54"/>
  <c r="P86" i="54"/>
  <c r="P87" i="54" s="1"/>
  <c r="P90" i="54" s="1"/>
  <c r="P88" i="54"/>
  <c r="P84" i="54"/>
  <c r="P89" i="54" s="1"/>
  <c r="AA58" i="54"/>
  <c r="Z74" i="54"/>
  <c r="Z52" i="54"/>
  <c r="Z47" i="54"/>
  <c r="W76" i="54"/>
  <c r="X67" i="54"/>
  <c r="V80" i="54"/>
  <c r="V66" i="54"/>
  <c r="V68" i="54" s="1"/>
  <c r="V79" i="54"/>
  <c r="AB140" i="54"/>
  <c r="U75" i="54"/>
  <c r="X109" i="54"/>
  <c r="W108" i="54"/>
  <c r="W50" i="54" s="1"/>
  <c r="W59" i="54" s="1"/>
  <c r="AD137" i="54" l="1"/>
  <c r="Z49" i="54"/>
  <c r="Z61" i="54" s="1"/>
  <c r="Z60" i="54" s="1"/>
  <c r="AB48" i="54"/>
  <c r="AF136" i="54"/>
  <c r="Q71" i="54"/>
  <c r="Q78" i="54" s="1"/>
  <c r="Q83" i="54" s="1"/>
  <c r="X108" i="54"/>
  <c r="X50" i="54" s="1"/>
  <c r="X59" i="54" s="1"/>
  <c r="Y109" i="54"/>
  <c r="AC140" i="54"/>
  <c r="AC141" i="54" s="1"/>
  <c r="Z73" i="54" s="1"/>
  <c r="Z85" i="54" s="1"/>
  <c r="Z99" i="54" s="1"/>
  <c r="AA74" i="54"/>
  <c r="AA52" i="54"/>
  <c r="AA47" i="54"/>
  <c r="AB58" i="54"/>
  <c r="R82" i="54"/>
  <c r="R56" i="54"/>
  <c r="R69" i="54" s="1"/>
  <c r="S53" i="54"/>
  <c r="W80" i="54"/>
  <c r="W66" i="54"/>
  <c r="W68" i="54" s="1"/>
  <c r="W79" i="54"/>
  <c r="AB141" i="54"/>
  <c r="Y73" i="54" s="1"/>
  <c r="Y85" i="54" s="1"/>
  <c r="Y99" i="54" s="1"/>
  <c r="V75" i="54"/>
  <c r="X76" i="54"/>
  <c r="Y67" i="54"/>
  <c r="AE137" i="54" l="1"/>
  <c r="AA49" i="54"/>
  <c r="AA61" i="54" s="1"/>
  <c r="AA60" i="54" s="1"/>
  <c r="AC48" i="54"/>
  <c r="AG136" i="54"/>
  <c r="X80" i="54"/>
  <c r="X66" i="54"/>
  <c r="X68" i="54" s="1"/>
  <c r="X79" i="54"/>
  <c r="W75" i="54"/>
  <c r="S55" i="54"/>
  <c r="T53" i="54" s="1"/>
  <c r="AB74" i="54"/>
  <c r="AC58" i="54"/>
  <c r="AB47" i="54"/>
  <c r="AB52" i="54"/>
  <c r="Q72" i="54"/>
  <c r="Z67" i="54"/>
  <c r="Y76" i="54"/>
  <c r="R77" i="54"/>
  <c r="R70" i="54"/>
  <c r="Z109" i="54"/>
  <c r="Y108" i="54"/>
  <c r="Y50" i="54" s="1"/>
  <c r="Y59" i="54" s="1"/>
  <c r="Q86" i="54"/>
  <c r="Q87" i="54" s="1"/>
  <c r="Q90" i="54" s="1"/>
  <c r="Q88" i="54"/>
  <c r="Q84" i="54"/>
  <c r="Q89" i="54" s="1"/>
  <c r="AD140" i="54"/>
  <c r="AD141" i="54" s="1"/>
  <c r="AA73" i="54" s="1"/>
  <c r="AA85" i="54" s="1"/>
  <c r="AA99" i="54" s="1"/>
  <c r="AB49" i="54" l="1"/>
  <c r="AF137" i="54"/>
  <c r="AB61" i="54"/>
  <c r="AB60" i="54" s="1"/>
  <c r="AD48" i="54"/>
  <c r="AH136" i="54"/>
  <c r="R71" i="54"/>
  <c r="R78" i="54" s="1"/>
  <c r="R83" i="54" s="1"/>
  <c r="T55" i="54"/>
  <c r="U53" i="54" s="1"/>
  <c r="Y80" i="54"/>
  <c r="Y66" i="54"/>
  <c r="Y68" i="54" s="1"/>
  <c r="Y79" i="54"/>
  <c r="S82" i="54"/>
  <c r="S56" i="54"/>
  <c r="S69" i="54" s="1"/>
  <c r="X75" i="54"/>
  <c r="Z108" i="54"/>
  <c r="Z50" i="54" s="1"/>
  <c r="Z59" i="54" s="1"/>
  <c r="AA109" i="54"/>
  <c r="Z76" i="54"/>
  <c r="AA67" i="54"/>
  <c r="AD58" i="54"/>
  <c r="AC74" i="54"/>
  <c r="AC52" i="54"/>
  <c r="AC47" i="54"/>
  <c r="AE140" i="54"/>
  <c r="AG137" i="54" l="1"/>
  <c r="AC49" i="54"/>
  <c r="AC61" i="54" s="1"/>
  <c r="AC60" i="54" s="1"/>
  <c r="AI136" i="54"/>
  <c r="AE48" i="54"/>
  <c r="AF140" i="54"/>
  <c r="AF141" i="54" s="1"/>
  <c r="AC73" i="54" s="1"/>
  <c r="AC85" i="54" s="1"/>
  <c r="AC99" i="54" s="1"/>
  <c r="Y75" i="54"/>
  <c r="AE141" i="54"/>
  <c r="AB73" i="54" s="1"/>
  <c r="AB85" i="54" s="1"/>
  <c r="AB99" i="54" s="1"/>
  <c r="AB109" i="54"/>
  <c r="AA108" i="54"/>
  <c r="AA50" i="54" s="1"/>
  <c r="AA59" i="54" s="1"/>
  <c r="S77" i="54"/>
  <c r="S70" i="54"/>
  <c r="AA76" i="54"/>
  <c r="AB67" i="54"/>
  <c r="AQ67" i="54"/>
  <c r="T82" i="54"/>
  <c r="T56" i="54"/>
  <c r="T69" i="54" s="1"/>
  <c r="R86" i="54"/>
  <c r="R87" i="54" s="1"/>
  <c r="R90" i="54" s="1"/>
  <c r="R88" i="54"/>
  <c r="R84" i="54"/>
  <c r="R89" i="54" s="1"/>
  <c r="AE58" i="54"/>
  <c r="AD52" i="54"/>
  <c r="AD47" i="54"/>
  <c r="AD74" i="54"/>
  <c r="Z80" i="54"/>
  <c r="Z66" i="54"/>
  <c r="Z68" i="54" s="1"/>
  <c r="Z79" i="54"/>
  <c r="U55" i="54"/>
  <c r="R72" i="54"/>
  <c r="AJ136" i="54" l="1"/>
  <c r="AF48" i="54"/>
  <c r="AH137" i="54"/>
  <c r="AD49" i="54"/>
  <c r="AD61" i="54" s="1"/>
  <c r="AD60" i="54" s="1"/>
  <c r="U82" i="54"/>
  <c r="U56" i="54"/>
  <c r="U69" i="54" s="1"/>
  <c r="Z75" i="54"/>
  <c r="AB108" i="54"/>
  <c r="AB50" i="54" s="1"/>
  <c r="AB59" i="54" s="1"/>
  <c r="AC109" i="54"/>
  <c r="AG140" i="54"/>
  <c r="AG141" i="54" s="1"/>
  <c r="AD73" i="54" s="1"/>
  <c r="AD85" i="54" s="1"/>
  <c r="AD99" i="54" s="1"/>
  <c r="AA80" i="54"/>
  <c r="AA66" i="54"/>
  <c r="AA68" i="54" s="1"/>
  <c r="AA79" i="54"/>
  <c r="V53" i="54"/>
  <c r="AF58" i="54"/>
  <c r="AE52" i="54"/>
  <c r="AE47" i="54"/>
  <c r="AE74" i="54"/>
  <c r="T77" i="54"/>
  <c r="T70" i="54"/>
  <c r="AB76" i="54"/>
  <c r="AC67" i="54"/>
  <c r="S71" i="54"/>
  <c r="S78" i="54" s="1"/>
  <c r="S83" i="54" s="1"/>
  <c r="AE49" i="54" l="1"/>
  <c r="AI137" i="54"/>
  <c r="AK136" i="54"/>
  <c r="AG48" i="54"/>
  <c r="AE61" i="54"/>
  <c r="AE60" i="54" s="1"/>
  <c r="S86" i="54"/>
  <c r="S87" i="54" s="1"/>
  <c r="S90" i="54" s="1"/>
  <c r="S88" i="54"/>
  <c r="S84" i="54"/>
  <c r="S89" i="54" s="1"/>
  <c r="AD67" i="54"/>
  <c r="AC76" i="54"/>
  <c r="V55" i="54"/>
  <c r="AH140" i="54"/>
  <c r="AH141" i="54" s="1"/>
  <c r="AE73" i="54" s="1"/>
  <c r="AE85" i="54" s="1"/>
  <c r="AE99" i="54" s="1"/>
  <c r="S72" i="54"/>
  <c r="T71" i="54"/>
  <c r="T78" i="54" s="1"/>
  <c r="T83" i="54" s="1"/>
  <c r="AA75" i="54"/>
  <c r="AC108" i="54"/>
  <c r="AC50" i="54" s="1"/>
  <c r="AC59" i="54" s="1"/>
  <c r="AD109" i="54"/>
  <c r="U77" i="54"/>
  <c r="U70" i="54"/>
  <c r="AF74" i="54"/>
  <c r="AG58" i="54"/>
  <c r="AF52" i="54"/>
  <c r="AF47" i="54"/>
  <c r="AB66" i="54"/>
  <c r="AB68" i="54" s="1"/>
  <c r="AB80" i="54"/>
  <c r="AB79" i="54"/>
  <c r="AJ137" i="54" l="1"/>
  <c r="AF49" i="54"/>
  <c r="AF61" i="54" s="1"/>
  <c r="AF60" i="54" s="1"/>
  <c r="AL136" i="54"/>
  <c r="AH48" i="54"/>
  <c r="AH58" i="54"/>
  <c r="AG74" i="54"/>
  <c r="AG52" i="54"/>
  <c r="AG47" i="54"/>
  <c r="AD76" i="54"/>
  <c r="AE67" i="54"/>
  <c r="AB75" i="54"/>
  <c r="V56" i="54"/>
  <c r="V69" i="54" s="1"/>
  <c r="V82" i="54"/>
  <c r="T86" i="54"/>
  <c r="T87" i="54" s="1"/>
  <c r="T90" i="54" s="1"/>
  <c r="T88" i="54"/>
  <c r="T84" i="54"/>
  <c r="T89" i="54" s="1"/>
  <c r="AE109" i="54"/>
  <c r="AD108" i="54"/>
  <c r="AD50" i="54" s="1"/>
  <c r="AD59" i="54" s="1"/>
  <c r="W53" i="54"/>
  <c r="U71" i="54"/>
  <c r="U78" i="54" s="1"/>
  <c r="U83" i="54" s="1"/>
  <c r="AC80" i="54"/>
  <c r="AC66" i="54"/>
  <c r="AC68" i="54" s="1"/>
  <c r="AC79" i="54"/>
  <c r="T72" i="54"/>
  <c r="AI140" i="54"/>
  <c r="AI141" i="54" s="1"/>
  <c r="AF73" i="54" s="1"/>
  <c r="AF85" i="54" s="1"/>
  <c r="AF99" i="54" s="1"/>
  <c r="AM136" i="54" l="1"/>
  <c r="AI48" i="54"/>
  <c r="AG49" i="54"/>
  <c r="AK137" i="54"/>
  <c r="AG61" i="54"/>
  <c r="AG60" i="54" s="1"/>
  <c r="U86" i="54"/>
  <c r="U87" i="54" s="1"/>
  <c r="U90" i="54" s="1"/>
  <c r="U84" i="54"/>
  <c r="U89" i="54" s="1"/>
  <c r="U88" i="54"/>
  <c r="AD80" i="54"/>
  <c r="AD66" i="54"/>
  <c r="AD68" i="54" s="1"/>
  <c r="AD79" i="54"/>
  <c r="AE76" i="54"/>
  <c r="AF67" i="54"/>
  <c r="U72" i="54"/>
  <c r="AF109" i="54"/>
  <c r="AE108" i="54"/>
  <c r="AE50" i="54" s="1"/>
  <c r="AE59" i="54" s="1"/>
  <c r="AJ140" i="54"/>
  <c r="AJ141" i="54" s="1"/>
  <c r="AG73" i="54" s="1"/>
  <c r="AG85" i="54" s="1"/>
  <c r="AG99" i="54" s="1"/>
  <c r="AC75" i="54"/>
  <c r="W55" i="54"/>
  <c r="X53" i="54" s="1"/>
  <c r="V77" i="54"/>
  <c r="V70" i="54"/>
  <c r="AH74" i="54"/>
  <c r="AH52" i="54"/>
  <c r="AH47" i="54"/>
  <c r="AI58" i="54"/>
  <c r="AL137" i="54" l="1"/>
  <c r="AH49" i="54"/>
  <c r="AH61" i="54" s="1"/>
  <c r="AH60" i="54" s="1"/>
  <c r="AN136" i="54"/>
  <c r="AJ48" i="54"/>
  <c r="AI74" i="54"/>
  <c r="AI52" i="54"/>
  <c r="AI47" i="54"/>
  <c r="AJ58" i="54"/>
  <c r="W82" i="54"/>
  <c r="W56" i="54"/>
  <c r="W69" i="54" s="1"/>
  <c r="AK140" i="54"/>
  <c r="AK141" i="54" s="1"/>
  <c r="AH73" i="54" s="1"/>
  <c r="AH85" i="54" s="1"/>
  <c r="AH99" i="54" s="1"/>
  <c r="AG67" i="54"/>
  <c r="AF76" i="54"/>
  <c r="AR67" i="54"/>
  <c r="V71" i="54"/>
  <c r="V78" i="54" s="1"/>
  <c r="V83" i="54" s="1"/>
  <c r="AD75" i="54"/>
  <c r="AF108" i="54"/>
  <c r="AF50" i="54" s="1"/>
  <c r="AF59" i="54" s="1"/>
  <c r="AG109" i="54"/>
  <c r="X55" i="54"/>
  <c r="AE80" i="54"/>
  <c r="AE66" i="54"/>
  <c r="AE68" i="54" s="1"/>
  <c r="AE79" i="54"/>
  <c r="AK48" i="54" l="1"/>
  <c r="AO136" i="54"/>
  <c r="AM137" i="54"/>
  <c r="AI49" i="54"/>
  <c r="AI61" i="54" s="1"/>
  <c r="AI60" i="54" s="1"/>
  <c r="V72" i="54"/>
  <c r="V86" i="54"/>
  <c r="V87" i="54" s="1"/>
  <c r="V90" i="54" s="1"/>
  <c r="V84" i="54"/>
  <c r="V89" i="54" s="1"/>
  <c r="V88" i="54"/>
  <c r="AL140" i="54"/>
  <c r="AL141" i="54" s="1"/>
  <c r="AI73" i="54" s="1"/>
  <c r="AI85" i="54" s="1"/>
  <c r="AI99" i="54" s="1"/>
  <c r="AF80" i="54"/>
  <c r="AF66" i="54"/>
  <c r="AF68" i="54" s="1"/>
  <c r="AF79" i="54"/>
  <c r="W77" i="54"/>
  <c r="W70" i="54"/>
  <c r="X56" i="54"/>
  <c r="X69" i="54" s="1"/>
  <c r="X82" i="54"/>
  <c r="AJ74" i="54"/>
  <c r="AK58" i="54"/>
  <c r="AJ52" i="54"/>
  <c r="AJ47" i="54"/>
  <c r="AH109" i="54"/>
  <c r="AG108" i="54"/>
  <c r="AG50" i="54" s="1"/>
  <c r="AG59" i="54" s="1"/>
  <c r="AE75" i="54"/>
  <c r="Y53" i="54"/>
  <c r="AH67" i="54"/>
  <c r="AG76" i="54"/>
  <c r="AN137" i="54" l="1"/>
  <c r="AJ49" i="54"/>
  <c r="AJ61" i="54" s="1"/>
  <c r="AJ60" i="54" s="1"/>
  <c r="AL48" i="54"/>
  <c r="AP136" i="54"/>
  <c r="Y55" i="54"/>
  <c r="Z53" i="54" s="1"/>
  <c r="AI109" i="54"/>
  <c r="AH108" i="54"/>
  <c r="AH50" i="54" s="1"/>
  <c r="AH59" i="54" s="1"/>
  <c r="X77" i="54"/>
  <c r="X70" i="54"/>
  <c r="AH76" i="54"/>
  <c r="AI67" i="54"/>
  <c r="AG80" i="54"/>
  <c r="AG66" i="54"/>
  <c r="AG68" i="54" s="1"/>
  <c r="AG79" i="54"/>
  <c r="AL58" i="54"/>
  <c r="AK47" i="54"/>
  <c r="AK52" i="54"/>
  <c r="AK74" i="54"/>
  <c r="W71" i="54"/>
  <c r="W78" i="54" s="1"/>
  <c r="W83" i="54" s="1"/>
  <c r="AF75" i="54"/>
  <c r="AM140" i="54"/>
  <c r="AM48" i="54" l="1"/>
  <c r="AQ136" i="54"/>
  <c r="AK49" i="54"/>
  <c r="AK61" i="54" s="1"/>
  <c r="AK60" i="54" s="1"/>
  <c r="AO137" i="54"/>
  <c r="W72" i="54"/>
  <c r="Z55" i="54"/>
  <c r="AA53" i="54" s="1"/>
  <c r="W86" i="54"/>
  <c r="W87" i="54" s="1"/>
  <c r="W90" i="54" s="1"/>
  <c r="W84" i="54"/>
  <c r="W89" i="54" s="1"/>
  <c r="W88" i="54"/>
  <c r="AH80" i="54"/>
  <c r="AH66" i="54"/>
  <c r="AH68" i="54" s="1"/>
  <c r="AH79" i="54"/>
  <c r="AN140" i="54"/>
  <c r="AM141" i="54"/>
  <c r="AJ73" i="54" s="1"/>
  <c r="AJ85" i="54" s="1"/>
  <c r="AJ99" i="54" s="1"/>
  <c r="AL74" i="54"/>
  <c r="AL52" i="54"/>
  <c r="AL47" i="54"/>
  <c r="AM58" i="54"/>
  <c r="AI76" i="54"/>
  <c r="AJ67" i="54"/>
  <c r="Y82" i="54"/>
  <c r="Y56" i="54"/>
  <c r="Y69" i="54" s="1"/>
  <c r="AG75" i="54"/>
  <c r="X71" i="54"/>
  <c r="X78" i="54" s="1"/>
  <c r="X83" i="54" s="1"/>
  <c r="AJ109" i="54"/>
  <c r="AI108" i="54"/>
  <c r="AI50" i="54" s="1"/>
  <c r="AI59" i="54" s="1"/>
  <c r="AL49" i="54" l="1"/>
  <c r="AL61" i="54" s="1"/>
  <c r="AL60" i="54" s="1"/>
  <c r="AP137" i="54"/>
  <c r="AN48" i="54"/>
  <c r="AR136" i="54"/>
  <c r="X86" i="54"/>
  <c r="X87" i="54" s="1"/>
  <c r="X90" i="54" s="1"/>
  <c r="X84" i="54"/>
  <c r="X89" i="54" s="1"/>
  <c r="X88" i="54"/>
  <c r="AJ76" i="54"/>
  <c r="AK67" i="54"/>
  <c r="AO140" i="54"/>
  <c r="AO141" i="54" s="1"/>
  <c r="AL73" i="54" s="1"/>
  <c r="AL85" i="54" s="1"/>
  <c r="AL99" i="54" s="1"/>
  <c r="Y77" i="54"/>
  <c r="Y70" i="54"/>
  <c r="AI80" i="54"/>
  <c r="AI66" i="54"/>
  <c r="AI68" i="54" s="1"/>
  <c r="AI79" i="54"/>
  <c r="X72" i="54"/>
  <c r="AM52" i="54"/>
  <c r="AM47" i="54"/>
  <c r="AM74" i="54"/>
  <c r="AN58" i="54"/>
  <c r="AH75" i="54"/>
  <c r="AJ108" i="54"/>
  <c r="AJ50" i="54" s="1"/>
  <c r="AJ59" i="54" s="1"/>
  <c r="AK109" i="54"/>
  <c r="AN141" i="54"/>
  <c r="AK73" i="54" s="1"/>
  <c r="AK85" i="54" s="1"/>
  <c r="AK99" i="54" s="1"/>
  <c r="Z82" i="54"/>
  <c r="Z56" i="54"/>
  <c r="Z69" i="54" s="1"/>
  <c r="AA55" i="54"/>
  <c r="AO48" i="54" l="1"/>
  <c r="AS136" i="54"/>
  <c r="AQ137" i="54"/>
  <c r="AM49" i="54"/>
  <c r="AM61" i="54" s="1"/>
  <c r="AM60" i="54" s="1"/>
  <c r="AI75" i="54"/>
  <c r="AL67" i="54"/>
  <c r="AK76" i="54"/>
  <c r="AA82" i="54"/>
  <c r="AA56" i="54"/>
  <c r="AA69" i="54" s="1"/>
  <c r="AK108" i="54"/>
  <c r="AK50" i="54" s="1"/>
  <c r="AK59" i="54" s="1"/>
  <c r="AL109" i="54"/>
  <c r="AN74" i="54"/>
  <c r="AO58" i="54"/>
  <c r="AN52" i="54"/>
  <c r="AN47" i="54"/>
  <c r="Y71" i="54"/>
  <c r="Y78" i="54" s="1"/>
  <c r="Y83" i="54" s="1"/>
  <c r="Z77" i="54"/>
  <c r="Z70" i="54"/>
  <c r="AJ80" i="54"/>
  <c r="AJ66" i="54"/>
  <c r="AJ68" i="54" s="1"/>
  <c r="AJ79" i="54"/>
  <c r="AP140" i="54"/>
  <c r="AB53" i="54"/>
  <c r="AN49" i="54" l="1"/>
  <c r="AN61" i="54" s="1"/>
  <c r="AN60" i="54" s="1"/>
  <c r="AR137" i="54"/>
  <c r="AP48" i="54"/>
  <c r="AT136" i="54"/>
  <c r="AU136" i="54" s="1"/>
  <c r="AV136" i="54" s="1"/>
  <c r="AW136" i="54" s="1"/>
  <c r="AX136" i="54" s="1"/>
  <c r="AY136" i="54" s="1"/>
  <c r="Y72" i="54"/>
  <c r="AK80" i="54"/>
  <c r="AK66" i="54"/>
  <c r="AK68" i="54" s="1"/>
  <c r="AK79" i="54"/>
  <c r="AL76" i="54"/>
  <c r="AM67" i="54"/>
  <c r="AJ75" i="54"/>
  <c r="AP58" i="54"/>
  <c r="AO74" i="54"/>
  <c r="AO52" i="54"/>
  <c r="AO47" i="54"/>
  <c r="AA77" i="54"/>
  <c r="AA70" i="54"/>
  <c r="Y86" i="54"/>
  <c r="Y87" i="54" s="1"/>
  <c r="Y90" i="54" s="1"/>
  <c r="Y84" i="54"/>
  <c r="Y89" i="54" s="1"/>
  <c r="Y88" i="54"/>
  <c r="Z71" i="54"/>
  <c r="Z78" i="54" s="1"/>
  <c r="Z83" i="54" s="1"/>
  <c r="AM109" i="54"/>
  <c r="AL108" i="54"/>
  <c r="AL50" i="54" s="1"/>
  <c r="AL59" i="54" s="1"/>
  <c r="AB55" i="54"/>
  <c r="AC53" i="54" s="1"/>
  <c r="AQ140" i="54"/>
  <c r="AQ141" i="54" s="1"/>
  <c r="AN73" i="54" s="1"/>
  <c r="AN85" i="54" s="1"/>
  <c r="AN99" i="54" s="1"/>
  <c r="AP141" i="54"/>
  <c r="AM73" i="54" s="1"/>
  <c r="AM85" i="54" s="1"/>
  <c r="AM99" i="54" s="1"/>
  <c r="AO49" i="54" l="1"/>
  <c r="AO61" i="54" s="1"/>
  <c r="AO60" i="54" s="1"/>
  <c r="AS137" i="54"/>
  <c r="Z72" i="54"/>
  <c r="AL80" i="54"/>
  <c r="AL66" i="54"/>
  <c r="AL68" i="54" s="1"/>
  <c r="AL79" i="54"/>
  <c r="Z86" i="54"/>
  <c r="Z87" i="54" s="1"/>
  <c r="Z90" i="54" s="1"/>
  <c r="Z88" i="54"/>
  <c r="Z84" i="54"/>
  <c r="Z89" i="54" s="1"/>
  <c r="AN109" i="54"/>
  <c r="AM108" i="54"/>
  <c r="AM50" i="54" s="1"/>
  <c r="AM59" i="54" s="1"/>
  <c r="AC55" i="54"/>
  <c r="AD53" i="54" s="1"/>
  <c r="AK75" i="54"/>
  <c r="AP74" i="54"/>
  <c r="AP52" i="54"/>
  <c r="AP47" i="54"/>
  <c r="AR140" i="54"/>
  <c r="AB56" i="54"/>
  <c r="AB69" i="54" s="1"/>
  <c r="AB82" i="54"/>
  <c r="AA71" i="54"/>
  <c r="AA78" i="54" s="1"/>
  <c r="AA83" i="54" s="1"/>
  <c r="AN67" i="54"/>
  <c r="AM76" i="54"/>
  <c r="AT137" i="54" l="1"/>
  <c r="AU137" i="54" s="1"/>
  <c r="AV137" i="54" s="1"/>
  <c r="AW137" i="54" s="1"/>
  <c r="AX137" i="54" s="1"/>
  <c r="AY137" i="54" s="1"/>
  <c r="AP49" i="54"/>
  <c r="AP61" i="54" s="1"/>
  <c r="AP60" i="54" s="1"/>
  <c r="AA72" i="54"/>
  <c r="AD55" i="54"/>
  <c r="AE53" i="54" s="1"/>
  <c r="AA86" i="54"/>
  <c r="AA87" i="54" s="1"/>
  <c r="AA90" i="54" s="1"/>
  <c r="AA88" i="54"/>
  <c r="AA84" i="54"/>
  <c r="AA89" i="54" s="1"/>
  <c r="AN76" i="54"/>
  <c r="AO67" i="54"/>
  <c r="AB77" i="54"/>
  <c r="AB70" i="54"/>
  <c r="AN108" i="54"/>
  <c r="AN50" i="54" s="1"/>
  <c r="AN59" i="54" s="1"/>
  <c r="AO109" i="54"/>
  <c r="AS140" i="54"/>
  <c r="AC82" i="54"/>
  <c r="AC56" i="54"/>
  <c r="AC69" i="54" s="1"/>
  <c r="AR141" i="54"/>
  <c r="AO73" i="54" s="1"/>
  <c r="AO85" i="54" s="1"/>
  <c r="AO99" i="54" s="1"/>
  <c r="AL75" i="54"/>
  <c r="AM66" i="54"/>
  <c r="AM68" i="54" s="1"/>
  <c r="AM80" i="54"/>
  <c r="AM79" i="54"/>
  <c r="AM75" i="54" l="1"/>
  <c r="AT140" i="54"/>
  <c r="AT141" i="54" s="1"/>
  <c r="AC77" i="54"/>
  <c r="AC70" i="54"/>
  <c r="AN80" i="54"/>
  <c r="AN66" i="54"/>
  <c r="AN68" i="54" s="1"/>
  <c r="AN79" i="54"/>
  <c r="AD82" i="54"/>
  <c r="AD56" i="54"/>
  <c r="AD69" i="54" s="1"/>
  <c r="AO108" i="54"/>
  <c r="AO50" i="54" s="1"/>
  <c r="AO59" i="54" s="1"/>
  <c r="AP109" i="54"/>
  <c r="AP108" i="54" s="1"/>
  <c r="AP50" i="54" s="1"/>
  <c r="AP59" i="54" s="1"/>
  <c r="AP67" i="54"/>
  <c r="AO76" i="54"/>
  <c r="AS141" i="54"/>
  <c r="AP73" i="54" s="1"/>
  <c r="AP85" i="54" s="1"/>
  <c r="AP99" i="54" s="1"/>
  <c r="AQ99" i="54" s="1"/>
  <c r="A100" i="54" s="1"/>
  <c r="AB71" i="54"/>
  <c r="AB78" i="54" s="1"/>
  <c r="AB83" i="54" s="1"/>
  <c r="AE55" i="54"/>
  <c r="AF53" i="54" s="1"/>
  <c r="AB86" i="54" l="1"/>
  <c r="AB87" i="54" s="1"/>
  <c r="AB90" i="54" s="1"/>
  <c r="AB88" i="54"/>
  <c r="AB84" i="54"/>
  <c r="AB89" i="54" s="1"/>
  <c r="AC71" i="54"/>
  <c r="AC78" i="54" s="1"/>
  <c r="AC83" i="54" s="1"/>
  <c r="AF55" i="54"/>
  <c r="AG53" i="54" s="1"/>
  <c r="AO80" i="54"/>
  <c r="AO66" i="54"/>
  <c r="AO68" i="54" s="1"/>
  <c r="AO79" i="54"/>
  <c r="AP79" i="54" s="1"/>
  <c r="AB72" i="54"/>
  <c r="AP76" i="54"/>
  <c r="AS67" i="54"/>
  <c r="AU140" i="54"/>
  <c r="AP80" i="54"/>
  <c r="AP66" i="54"/>
  <c r="AP68" i="54" s="1"/>
  <c r="AN75" i="54"/>
  <c r="AE82" i="54"/>
  <c r="AE56" i="54"/>
  <c r="AE69" i="54" s="1"/>
  <c r="AD77" i="54"/>
  <c r="AD70" i="54"/>
  <c r="AC72" i="54" l="1"/>
  <c r="AV140" i="54"/>
  <c r="AE77" i="54"/>
  <c r="AE70" i="54"/>
  <c r="AU141" i="54"/>
  <c r="AC86" i="54"/>
  <c r="AC87" i="54" s="1"/>
  <c r="AC90" i="54" s="1"/>
  <c r="AC88" i="54"/>
  <c r="AC84" i="54"/>
  <c r="AC89" i="54" s="1"/>
  <c r="AG55" i="54"/>
  <c r="AH53" i="54" s="1"/>
  <c r="AP75" i="54"/>
  <c r="AF82" i="54"/>
  <c r="AF56" i="54"/>
  <c r="AF69" i="54" s="1"/>
  <c r="AD71" i="54"/>
  <c r="AD78" i="54" s="1"/>
  <c r="AD83" i="54" s="1"/>
  <c r="AO75" i="54"/>
  <c r="AD72" i="54" l="1"/>
  <c r="AD86" i="54"/>
  <c r="AD87" i="54" s="1"/>
  <c r="AD90" i="54" s="1"/>
  <c r="AD88" i="54"/>
  <c r="AD84" i="54"/>
  <c r="AD89" i="54" s="1"/>
  <c r="AF77" i="54"/>
  <c r="AF70" i="54"/>
  <c r="AH55" i="54"/>
  <c r="AI53" i="54" s="1"/>
  <c r="AW140" i="54"/>
  <c r="AW141" i="54" s="1"/>
  <c r="AG82" i="54"/>
  <c r="AG56" i="54"/>
  <c r="AG69" i="54" s="1"/>
  <c r="AV141" i="54"/>
  <c r="AE71" i="54"/>
  <c r="AE78" i="54" s="1"/>
  <c r="AE83" i="54" s="1"/>
  <c r="AE72" i="54" l="1"/>
  <c r="AE86" i="54"/>
  <c r="AE87" i="54" s="1"/>
  <c r="AE90" i="54" s="1"/>
  <c r="AE88" i="54"/>
  <c r="AE84" i="54"/>
  <c r="AE89" i="54" s="1"/>
  <c r="AI55" i="54"/>
  <c r="AF71" i="54"/>
  <c r="AF78" i="54" s="1"/>
  <c r="AF83" i="54" s="1"/>
  <c r="AX140" i="54"/>
  <c r="AX141" i="54" s="1"/>
  <c r="AG77" i="54"/>
  <c r="AG70" i="54"/>
  <c r="AH56" i="54"/>
  <c r="AH69" i="54" s="1"/>
  <c r="AH82" i="54"/>
  <c r="AF86" i="54" l="1"/>
  <c r="AF87" i="54" s="1"/>
  <c r="AF90" i="54" s="1"/>
  <c r="AF84" i="54"/>
  <c r="AF89" i="54" s="1"/>
  <c r="AF88" i="54"/>
  <c r="AG71" i="54"/>
  <c r="AG78" i="54" s="1"/>
  <c r="AG83" i="54" s="1"/>
  <c r="AI82" i="54"/>
  <c r="AI56" i="54"/>
  <c r="AI69" i="54" s="1"/>
  <c r="AF72" i="54"/>
  <c r="AH77" i="54"/>
  <c r="AH70" i="54"/>
  <c r="AY140" i="54"/>
  <c r="AY141" i="54" s="1"/>
  <c r="AJ53" i="54"/>
  <c r="AG72" i="54" l="1"/>
  <c r="AH71" i="54"/>
  <c r="AH78" i="54" s="1"/>
  <c r="AH83" i="54" s="1"/>
  <c r="AI77" i="54"/>
  <c r="AI70" i="54"/>
  <c r="AJ55" i="54"/>
  <c r="AK53" i="54" s="1"/>
  <c r="AG86" i="54"/>
  <c r="AG87" i="54" s="1"/>
  <c r="AG90" i="54" s="1"/>
  <c r="AG88" i="54"/>
  <c r="AG84" i="54"/>
  <c r="AG89" i="54" s="1"/>
  <c r="AH86" i="54" l="1"/>
  <c r="AH87" i="54" s="1"/>
  <c r="AH90" i="54" s="1"/>
  <c r="AH84" i="54"/>
  <c r="AH89" i="54" s="1"/>
  <c r="AH88" i="54"/>
  <c r="AK55" i="54"/>
  <c r="AL53" i="54" s="1"/>
  <c r="AI71" i="54"/>
  <c r="AI78" i="54" s="1"/>
  <c r="AI83" i="54" s="1"/>
  <c r="AJ82" i="54"/>
  <c r="AJ56" i="54"/>
  <c r="AJ69" i="54" s="1"/>
  <c r="AH72" i="54"/>
  <c r="AI86" i="54" l="1"/>
  <c r="AI87" i="54" s="1"/>
  <c r="AI90" i="54" s="1"/>
  <c r="AI84" i="54"/>
  <c r="AI89" i="54" s="1"/>
  <c r="AI88" i="54"/>
  <c r="AI72" i="54"/>
  <c r="AJ77" i="54"/>
  <c r="AJ70" i="54"/>
  <c r="AL55" i="54"/>
  <c r="AK82" i="54"/>
  <c r="AK56" i="54"/>
  <c r="AK69" i="54" s="1"/>
  <c r="AK77" i="54" l="1"/>
  <c r="AK70" i="54"/>
  <c r="AJ71" i="54"/>
  <c r="AJ78" i="54" s="1"/>
  <c r="AJ83" i="54" s="1"/>
  <c r="AL82" i="54"/>
  <c r="AL56" i="54"/>
  <c r="AL69" i="54" s="1"/>
  <c r="AM53" i="54"/>
  <c r="AJ86" i="54" l="1"/>
  <c r="AJ87" i="54" s="1"/>
  <c r="AJ90" i="54" s="1"/>
  <c r="AJ84" i="54"/>
  <c r="AJ89" i="54" s="1"/>
  <c r="AJ88" i="54"/>
  <c r="AM55" i="54"/>
  <c r="AL77" i="54"/>
  <c r="AL70" i="54"/>
  <c r="AJ72" i="54"/>
  <c r="AK71" i="54"/>
  <c r="AK78" i="54" s="1"/>
  <c r="AK83" i="54" s="1"/>
  <c r="AK72" i="54" l="1"/>
  <c r="AM82" i="54"/>
  <c r="AM56" i="54"/>
  <c r="AM69" i="54" s="1"/>
  <c r="AK86" i="54"/>
  <c r="AK87" i="54" s="1"/>
  <c r="AK90" i="54" s="1"/>
  <c r="AK88" i="54"/>
  <c r="AK84" i="54"/>
  <c r="AK89" i="54" s="1"/>
  <c r="AL71" i="54"/>
  <c r="AL78" i="54" s="1"/>
  <c r="AL83" i="54" s="1"/>
  <c r="AN53" i="54"/>
  <c r="AL72" i="54" l="1"/>
  <c r="AM77" i="54"/>
  <c r="AM70" i="54"/>
  <c r="AN55" i="54"/>
  <c r="AO53" i="54" s="1"/>
  <c r="AL86" i="54"/>
  <c r="AL87" i="54" s="1"/>
  <c r="AL90" i="54" s="1"/>
  <c r="AL84" i="54"/>
  <c r="AL89" i="54" s="1"/>
  <c r="AL88" i="54"/>
  <c r="AO55" i="54" l="1"/>
  <c r="AP53" i="54" s="1"/>
  <c r="AP55" i="54" s="1"/>
  <c r="AN82" i="54"/>
  <c r="AN56" i="54"/>
  <c r="AN69" i="54" s="1"/>
  <c r="AM71" i="54"/>
  <c r="AM78" i="54" s="1"/>
  <c r="AM83" i="54" s="1"/>
  <c r="AM86" i="54" l="1"/>
  <c r="AM87" i="54" s="1"/>
  <c r="AM90" i="54" s="1"/>
  <c r="AM88" i="54"/>
  <c r="AM84" i="54"/>
  <c r="AM89" i="54" s="1"/>
  <c r="AP82" i="54"/>
  <c r="AP56" i="54"/>
  <c r="AP69" i="54" s="1"/>
  <c r="AN77" i="54"/>
  <c r="AN70" i="54"/>
  <c r="AM72" i="54"/>
  <c r="AO82" i="54"/>
  <c r="AO56" i="54"/>
  <c r="AO69" i="54" s="1"/>
  <c r="AN71" i="54" l="1"/>
  <c r="AN78" i="54" s="1"/>
  <c r="AN83" i="54" s="1"/>
  <c r="AO77" i="54"/>
  <c r="AO70" i="54"/>
  <c r="AP77" i="54"/>
  <c r="AP70" i="54"/>
  <c r="AN72" i="54" l="1"/>
  <c r="AO71" i="54"/>
  <c r="AO78" i="54" s="1"/>
  <c r="AO83" i="54" s="1"/>
  <c r="AP71" i="54"/>
  <c r="AN86" i="54"/>
  <c r="AN87" i="54" s="1"/>
  <c r="AN90" i="54" s="1"/>
  <c r="AN88" i="54"/>
  <c r="AN84" i="54"/>
  <c r="AN89" i="54" s="1"/>
  <c r="AO72" i="54" l="1"/>
  <c r="AP78" i="54"/>
  <c r="AP83" i="54" s="1"/>
  <c r="AP88" i="54" s="1"/>
  <c r="AO86" i="54"/>
  <c r="AO87" i="54" s="1"/>
  <c r="AO90" i="54" s="1"/>
  <c r="AO84" i="54"/>
  <c r="AO89" i="54" s="1"/>
  <c r="AO88" i="54"/>
  <c r="AP72" i="54"/>
  <c r="AP86" i="54" l="1"/>
  <c r="AP87" i="54" s="1"/>
  <c r="AP84" i="54"/>
  <c r="AP89" i="54" s="1"/>
  <c r="A101" i="54" l="1"/>
  <c r="B102" i="54" s="1"/>
  <c r="AP90" i="54"/>
</calcChain>
</file>

<file path=xl/sharedStrings.xml><?xml version="1.0" encoding="utf-8"?>
<sst xmlns="http://schemas.openxmlformats.org/spreadsheetml/2006/main" count="1189" uniqueCount="734">
  <si>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</si>
  <si>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</si>
  <si>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</si>
  <si>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</si>
  <si>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</si>
  <si>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</si>
  <si>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</si>
  <si>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</si>
  <si>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</si>
  <si>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</si>
  <si>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</si>
  <si>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</si>
  <si>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</si>
  <si>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</si>
  <si>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</si>
  <si>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</si>
  <si>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</si>
  <si>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</si>
  <si>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</si>
  <si>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</si>
  <si>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</si>
  <si>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</si>
  <si>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</si>
  <si>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</si>
  <si>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</si>
  <si>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</si>
  <si>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</si>
  <si>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</si>
  <si>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</si>
  <si>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</si>
  <si>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</si>
  <si>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</si>
  <si>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</si>
  <si>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</si>
  <si>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</si>
  <si>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</si>
  <si>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</si>
  <si>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</si>
  <si>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</si>
  <si>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</si>
  <si>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</si>
  <si>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</si>
  <si>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</si>
  <si>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</si>
  <si>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</si>
  <si>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</si>
  <si>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</si>
  <si>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</si>
  <si>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</si>
  <si>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</si>
  <si>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</si>
  <si>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</si>
  <si>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</si>
  <si>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</si>
  <si>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</si>
  <si>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</si>
  <si>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</si>
  <si>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</si>
  <si>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</si>
  <si>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</si>
  <si>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</si>
  <si>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</si>
  <si>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</si>
  <si>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</si>
  <si>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</si>
  <si>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</si>
  <si>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</si>
  <si>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</si>
  <si>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</si>
  <si>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</si>
  <si>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</si>
  <si>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</si>
  <si>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</si>
  <si>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</si>
  <si>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</si>
  <si>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</si>
  <si>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</si>
  <si>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</si>
  <si>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</si>
  <si>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</si>
  <si>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</si>
  <si>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</si>
  <si>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</si>
  <si>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</si>
  <si>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</si>
  <si>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</si>
  <si>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</si>
  <si>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</si>
  <si>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</si>
  <si>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</si>
  <si>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</si>
  <si>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</si>
  <si>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</si>
  <si>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</si>
  <si>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</si>
  <si>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</si>
  <si>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</si>
  <si>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</si>
  <si>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</si>
  <si>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</si>
  <si>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</si>
  <si>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</si>
  <si>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</si>
  <si>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</si>
  <si>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</si>
  <si>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</si>
  <si>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</si>
  <si>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</si>
  <si>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</si>
  <si>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</si>
  <si>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</si>
  <si>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</si>
  <si>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</si>
  <si>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</si>
  <si>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</si>
  <si>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</si>
  <si>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</si>
  <si>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</si>
  <si>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</si>
  <si>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</si>
  <si>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</si>
  <si>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</si>
  <si>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</si>
  <si>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</si>
  <si>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</si>
  <si>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</si>
  <si>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</si>
  <si>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</si>
  <si>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</si>
  <si>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</si>
  <si>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</si>
  <si>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</si>
  <si>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</si>
  <si>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</si>
  <si>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</si>
  <si>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</si>
  <si>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</si>
  <si>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</si>
  <si>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</si>
  <si>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</si>
  <si>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</si>
  <si>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</si>
  <si>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</si>
  <si>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</si>
  <si>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</si>
  <si>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</si>
  <si>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</si>
  <si>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</si>
  <si>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</si>
  <si>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</si>
  <si>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</si>
  <si>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</si>
  <si>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</si>
  <si>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</si>
  <si>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</si>
  <si>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</si>
  <si>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</si>
  <si>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</si>
  <si>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</si>
  <si>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</si>
  <si>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</si>
  <si>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</si>
  <si>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</si>
  <si>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</si>
  <si>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</si>
  <si>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</si>
  <si>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</si>
  <si>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</si>
  <si>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</si>
  <si>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</si>
  <si>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</si>
  <si>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</si>
  <si>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</si>
  <si>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</si>
  <si>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</si>
  <si>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</si>
  <si>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</si>
  <si>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</si>
  <si>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</si>
  <si>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</si>
  <si>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</si>
  <si>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</si>
  <si>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</si>
  <si>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</si>
  <si>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</si>
  <si>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</si>
  <si>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</si>
  <si>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</si>
  <si>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</si>
  <si>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</si>
  <si>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</si>
  <si>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</si>
  <si>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</si>
  <si>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</si>
  <si>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</si>
  <si>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</si>
  <si>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</si>
  <si>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</si>
  <si>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</si>
  <si>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</si>
  <si>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</si>
  <si>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</si>
  <si>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</si>
  <si>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</si>
  <si>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</si>
  <si>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</si>
  <si>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</si>
  <si>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</si>
  <si>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</si>
  <si>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</si>
  <si>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</si>
  <si>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</si>
  <si>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</si>
  <si>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</si>
  <si>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</si>
  <si>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</si>
  <si>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</si>
  <si>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</si>
  <si>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</si>
  <si>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</si>
  <si>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</si>
  <si>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</si>
  <si>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</si>
  <si>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</si>
  <si>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</si>
  <si>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</si>
  <si>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</si>
  <si>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</si>
  <si>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</si>
  <si>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</si>
  <si>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</si>
  <si>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</si>
  <si>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</si>
  <si>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</si>
  <si>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</si>
  <si>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</si>
  <si>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</si>
  <si>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</si>
  <si>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</si>
  <si>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</si>
  <si>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</si>
  <si>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</si>
  <si>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</si>
  <si>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</si>
  <si>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</si>
  <si>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</si>
  <si>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</si>
  <si>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</si>
  <si>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</si>
  <si>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</si>
  <si>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</si>
  <si>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</si>
  <si>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</si>
  <si>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</si>
  <si>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</si>
  <si>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</si>
  <si>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</si>
  <si>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</si>
  <si>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</si>
  <si>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</si>
  <si>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</si>
  <si>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</si>
  <si>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</si>
  <si>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</si>
  <si>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</si>
  <si>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</si>
  <si>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</si>
  <si>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</si>
  <si>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</si>
  <si>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</si>
  <si>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</si>
  <si>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</si>
  <si>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</si>
  <si>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</si>
  <si>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</si>
  <si>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</si>
  <si>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</si>
  <si>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</si>
  <si>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</si>
  <si>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</si>
  <si>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</si>
  <si>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</si>
  <si>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</si>
  <si>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</si>
  <si>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</si>
  <si>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</si>
  <si>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</si>
  <si>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</si>
  <si>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</si>
  <si>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</si>
  <si>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</si>
  <si>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</si>
  <si>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</si>
  <si>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</si>
  <si>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</si>
  <si>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</si>
  <si>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</si>
  <si>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</si>
  <si>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</si>
  <si>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</si>
  <si>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</si>
  <si>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</si>
  <si>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</si>
  <si>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</si>
  <si>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</si>
  <si>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</si>
  <si>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</si>
  <si>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</si>
  <si>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</si>
  <si>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</si>
  <si>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</si>
  <si>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</si>
  <si>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</si>
  <si>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</si>
  <si>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</si>
  <si>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</si>
  <si>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</si>
  <si>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</si>
  <si>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</si>
  <si>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</si>
  <si>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</si>
  <si>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</si>
  <si>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</si>
  <si>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</si>
  <si>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</si>
  <si>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</si>
  <si>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</si>
  <si>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</si>
  <si>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</si>
  <si>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</si>
  <si>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</si>
  <si>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</si>
  <si>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</si>
  <si>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</si>
  <si>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</si>
  <si>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</si>
  <si>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</si>
  <si>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</si>
  <si>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</si>
  <si>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</si>
  <si>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</si>
  <si>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</si>
  <si>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</si>
  <si>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</si>
  <si>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</si>
  <si>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</si>
  <si>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</si>
  <si>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</si>
  <si>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</si>
  <si>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</si>
  <si>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</si>
  <si>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</si>
  <si>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</si>
  <si>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</si>
  <si>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</si>
  <si>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</si>
  <si>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</si>
  <si>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</si>
  <si>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</si>
  <si>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</si>
  <si>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</si>
  <si>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</si>
  <si>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</si>
  <si>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</si>
  <si>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</si>
  <si>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</si>
  <si>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</si>
  <si>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</si>
  <si>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</si>
  <si>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</si>
  <si>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</si>
  <si>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</si>
  <si>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</si>
  <si>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</si>
  <si>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</si>
  <si>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</si>
  <si>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</si>
  <si>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</si>
  <si>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</si>
  <si>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</si>
  <si>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</si>
  <si>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</si>
  <si>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</si>
  <si>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</si>
  <si>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</si>
  <si>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</si>
  <si>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</si>
  <si>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</si>
  <si>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</si>
  <si>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</si>
  <si>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</si>
  <si>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</si>
  <si>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</si>
  <si>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</si>
  <si>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</si>
  <si>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</si>
  <si>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</si>
  <si>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</si>
  <si>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</si>
  <si>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</si>
  <si>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</si>
  <si>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</si>
  <si>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</si>
  <si>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</si>
  <si>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</si>
  <si>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</si>
  <si>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</si>
  <si>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</si>
  <si>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</si>
  <si>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</si>
  <si>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</si>
  <si>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</si>
  <si>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</si>
  <si>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</si>
  <si>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</si>
  <si>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</si>
  <si>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</si>
  <si>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</si>
  <si>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</si>
  <si>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</si>
  <si>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</si>
  <si>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</si>
  <si>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</si>
  <si>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</si>
  <si>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</si>
  <si>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</si>
  <si>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</si>
  <si>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</si>
  <si>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</si>
  <si>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</si>
  <si>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</si>
  <si>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</si>
  <si>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</si>
  <si>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</si>
  <si>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</si>
  <si>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</si>
  <si>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</si>
  <si>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</si>
  <si>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</si>
  <si>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</si>
  <si>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</si>
  <si>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</si>
  <si>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</si>
  <si>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</si>
  <si>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</si>
  <si>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</si>
  <si>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</si>
  <si>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</si>
  <si>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</si>
  <si>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</si>
  <si>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</si>
  <si>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</si>
  <si>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</si>
  <si>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</si>
  <si>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</si>
  <si>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</si>
  <si>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</si>
  <si>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</si>
  <si>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</si>
  <si>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</si>
  <si>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</si>
  <si>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</si>
  <si>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</si>
  <si>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</si>
  <si>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</si>
  <si>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</si>
  <si>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</si>
  <si>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</si>
  <si>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</si>
  <si>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</si>
  <si>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</si>
  <si>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</si>
  <si>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</si>
  <si>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</si>
  <si>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</si>
  <si>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</si>
  <si>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</si>
  <si>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</si>
  <si>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</si>
  <si>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</si>
  <si>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</si>
  <si>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</si>
  <si>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</si>
  <si>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</si>
  <si>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</si>
  <si>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</si>
  <si>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</si>
  <si>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</si>
  <si>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</si>
  <si>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</si>
  <si>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</si>
  <si>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</si>
  <si>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</si>
  <si>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</si>
  <si>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</si>
  <si>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</si>
  <si>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</si>
  <si>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</si>
  <si>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</si>
  <si>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</si>
  <si>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</si>
  <si>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</si>
  <si>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</si>
  <si>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</si>
  <si>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</si>
  <si>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</si>
  <si>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</si>
  <si>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</si>
  <si>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</si>
  <si>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</si>
  <si>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</si>
  <si>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</si>
  <si>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</si>
  <si>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</si>
  <si>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</si>
  <si>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</si>
  <si>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</si>
  <si>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</si>
  <si>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</si>
  <si>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</si>
  <si>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</si>
  <si>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</si>
  <si>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</si>
  <si>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</si>
  <si>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</si>
  <si>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</si>
  <si>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</si>
  <si>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</si>
  <si>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</si>
  <si>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</si>
  <si>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</si>
  <si>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</si>
  <si>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</si>
  <si>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</si>
  <si>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</si>
  <si>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</si>
  <si>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</si>
  <si>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</si>
  <si>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</si>
  <si>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</si>
  <si>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</si>
  <si>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</si>
  <si>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</si>
  <si>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</si>
  <si>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</si>
  <si>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</si>
  <si>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</si>
  <si>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</si>
  <si>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</si>
  <si>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</si>
  <si>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</si>
  <si>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</si>
  <si>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</si>
  <si>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</si>
  <si>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</si>
  <si>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</si>
  <si>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</si>
  <si>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</si>
  <si>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</si>
  <si>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</si>
  <si>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</si>
  <si>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</si>
  <si>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</si>
  <si>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</si>
  <si>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</si>
  <si>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</si>
  <si>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</si>
  <si>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</si>
  <si>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</si>
  <si>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</si>
  <si>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</si>
  <si>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</si>
  <si>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</si>
  <si>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</si>
  <si>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</si>
  <si>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</si>
  <si>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</si>
  <si>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</si>
  <si>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</si>
  <si>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</si>
  <si>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</si>
  <si>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</si>
  <si>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</si>
  <si>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</si>
  <si>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</si>
  <si>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</si>
  <si>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</si>
  <si>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</si>
  <si>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</si>
  <si>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</si>
  <si>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</si>
  <si>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</si>
  <si>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</si>
  <si>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</si>
  <si>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</si>
  <si>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</si>
  <si>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</si>
  <si>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</si>
  <si>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</si>
  <si>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</si>
  <si>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</si>
  <si>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</si>
  <si>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</si>
  <si>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</si>
  <si>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</si>
  <si>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</si>
  <si>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</si>
  <si>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</si>
  <si>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</si>
  <si>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</si>
  <si>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</si>
  <si>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</si>
  <si>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</si>
  <si>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</si>
  <si>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</si>
  <si>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</si>
  <si>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</si>
  <si>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</si>
  <si>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</si>
  <si>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</si>
  <si>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</si>
  <si>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</si>
  <si>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</si>
  <si>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</si>
  <si>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</si>
  <si>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</si>
  <si>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</si>
  <si>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</si>
  <si>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</si>
  <si>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</si>
  <si>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</si>
  <si>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</si>
  <si>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</si>
  <si>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</si>
  <si>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</si>
  <si>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</si>
  <si>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</si>
  <si>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</si>
  <si>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</si>
  <si>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</si>
  <si>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</si>
  <si>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</si>
  <si>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</si>
  <si>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ТМГ</t>
  </si>
  <si>
    <t>Увеличение объема услуг по передаче электрической энергии.</t>
  </si>
  <si>
    <t>В КС...</t>
  </si>
  <si>
    <t>0.4 кВ</t>
  </si>
  <si>
    <t>отсутствуют</t>
  </si>
  <si>
    <t>предложения по корректировке плана</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</si>
  <si>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</si>
  <si>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</si>
  <si>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</si>
  <si>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</si>
  <si>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</si>
  <si>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</si>
  <si>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</si>
  <si>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</si>
  <si>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Сметная стоимость проекта в ценах 2019 года с НДС, млн. руб.</t>
  </si>
  <si>
    <t>J_18-1157</t>
  </si>
  <si>
    <t>Реконструкция ТП 66 (инв. № 5351233), строительство ЛЭП 0,4 кВ от ТП 66, с установкой СП Нового по ул. Садовой в г. Черняховске</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</si>
  <si>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</si>
  <si>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</si>
  <si>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</si>
  <si>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</si>
  <si>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</si>
  <si>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</si>
  <si>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</si>
  <si>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</si>
  <si>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</si>
  <si>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</si>
  <si>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</si>
  <si>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</si>
  <si>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</si>
  <si>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</si>
  <si>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</si>
  <si>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ТП 6/0,4 кВ № 66</t>
  </si>
  <si>
    <t>2019</t>
  </si>
  <si>
    <t>6913/10/18 от 19.11.2018</t>
  </si>
  <si>
    <t>238151, Калининградская обл, Черняховский р-н, Черняховск г, Садовая ул, дом № 4</t>
  </si>
  <si>
    <t>Нежилое здание</t>
  </si>
  <si>
    <t xml:space="preserve">1) Нижние контакты стоек предохранителей 0,4 кВ в СП Новом от ТП 66 (Рзапр.=200 кВт)  (п.10.2)            </t>
  </si>
  <si>
    <t>В ТП 66 произвести замену:
10.1.1 трансформатора Т-1 6/0,4 кВ 400 кВА на трансформатор 6/0,4 кВ 630 кВА ; 
10.1.2 токопровода от трансформатора до РУ-0,4 кВ;
10.1.3 вводной панели 0,4 кВ на панель типа ЩО-70; 
10.1.4 линейной панели 0,4 кВ на панель типа ЩО-70. 
10.2 На границе земельного участка объекта установить СП новый наружного исполнения.
10.3 Произвести проектирование, монтаж сети 0,4 кВ от ТП 66 до СПнового (п.10.2) КЛ-1 кВ расчетного сечения (ориентировочно по трассе 200 м).</t>
  </si>
  <si>
    <t>ГП</t>
  </si>
  <si>
    <t>Разработка рабочей документации по объекту "Восточные Элктрические Сети, согласно приложению ПИР 3.1ю"</t>
  </si>
  <si>
    <t>"Янтарьэнерго" АО УпСДР (льгот)</t>
  </si>
  <si>
    <t>УР</t>
  </si>
  <si>
    <t>ВЗ</t>
  </si>
  <si>
    <t>ОЗП</t>
  </si>
  <si>
    <t>"КПСП" ООО</t>
  </si>
  <si>
    <t xml:space="preserve"> 31907615172 </t>
  </si>
  <si>
    <t xml:space="preserve">https://rosseti.roseltorg.ru/ </t>
  </si>
  <si>
    <t>29.05.2019</t>
  </si>
  <si>
    <t>30.05.2019</t>
  </si>
  <si>
    <t>29.07.2019</t>
  </si>
  <si>
    <t>"ОРИОН" ООО</t>
  </si>
  <si>
    <t>разъединитель</t>
  </si>
  <si>
    <t>Выключатель нагрузки</t>
  </si>
  <si>
    <t>Т-2</t>
  </si>
  <si>
    <t>Р Т-2</t>
  </si>
  <si>
    <t>ВН Т-2</t>
  </si>
  <si>
    <t>NALF 12-6K210RE 630А</t>
  </si>
  <si>
    <t>ТМГ-12 630 кВА</t>
  </si>
  <si>
    <t>Реконструкция ТП 66 (инв. № 5351233) замена трансформатора 400 на 630 кВА с установкой СП Нового по ул. Садовой в г. Черняховске</t>
  </si>
  <si>
    <t>реконструкция ТП 1,521 млн рублей/МВА</t>
  </si>
  <si>
    <t xml:space="preserve"> по состоянию на 01.01.2020</t>
  </si>
  <si>
    <t>0,63 МВА (0,23 МВА)</t>
  </si>
  <si>
    <t>реконструкция</t>
  </si>
  <si>
    <t>ПСД, утв. Приказом № 62 от 06.02.2020</t>
  </si>
  <si>
    <t>ТМГ-6/0,4 630 кВА - 1 шт., ВН-6 кВ - 1шт.</t>
  </si>
  <si>
    <t>ПИР ООО "КалининградПромСтройПроект" договор № 480 от 29.05.2019 в ценах 2019 года без НДС, млн. руб.</t>
  </si>
  <si>
    <t>ПИР ООО "КалининградПромСтройПроект" договор № 480 от 29.05.2019</t>
  </si>
  <si>
    <t>СМР с поставкой оборудования ООО "Энергопроект" договор №20ГП-ЭП/4.4ю/Я от 28.05.2020 в ценах 2020 года с НДС, млн. руб.</t>
  </si>
  <si>
    <t>СМР с поставкой оборудования ООО "Энергопроект" договор №20ГП-ЭП/4.4ю/Я от 28.05.2020</t>
  </si>
  <si>
    <t>Выполнение строительно-монтажных работ с поставкой оборудования по объекту «Объекты Восточных электрических сетей, согласно приложению 4.4ю»</t>
  </si>
  <si>
    <t>ОК</t>
  </si>
  <si>
    <t>"Энергопроект" ООО</t>
  </si>
  <si>
    <t>32009058477</t>
  </si>
  <si>
    <t>28.05.2020</t>
  </si>
  <si>
    <t>28.07.2020</t>
  </si>
  <si>
    <t>"РСО-Энерго" ООО</t>
  </si>
  <si>
    <t>"ИНЖЕНЕРНЫЕ ТЕХНОЛОГИИ" ООО</t>
  </si>
  <si>
    <t>ПИР</t>
  </si>
  <si>
    <t>НДС не предусмотрен, штрафные санкции</t>
  </si>
  <si>
    <t>Направлена претензия ООО "КалининградПромСтройПроект" о взыскании неустойки за нарушение сроков выполнения работ по договору от 27.02.2020 № ЯЭ/60/384</t>
  </si>
  <si>
    <t>З</t>
  </si>
  <si>
    <t xml:space="preserve">Принят к бухгалтерскому учету, оформлен акт приемки законченного строительством объекта </t>
  </si>
  <si>
    <r>
      <t>Другое</t>
    </r>
    <r>
      <rPr>
        <vertAlign val="superscript"/>
        <sz val="12"/>
        <color rgb="FF000000"/>
        <rFont val="Times New Roman"/>
        <family val="1"/>
        <charset val="204"/>
      </rPr>
      <t>3)</t>
    </r>
    <r>
      <rPr>
        <sz val="12"/>
        <color rgb="FF000000"/>
        <rFont val="Times New Roman"/>
        <family val="1"/>
        <charset val="204"/>
      </rPr>
      <t>, штук</t>
    </r>
  </si>
  <si>
    <t>2021</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</si>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</sst>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6"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1" xfId="62" applyFont="1" applyBorder="1"/>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40" fillId="29" borderId="31" xfId="2"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69" fontId="7" fillId="0" borderId="54"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7" fillId="0" borderId="51" xfId="1" applyFont="1" applyBorder="1" applyAlignment="1">
      <alignment horizontal="left"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71" fillId="30" borderId="0" xfId="67" applyFont="1" applyFill="1" applyAlignment="1">
      <alignment vertical="center"/>
    </xf>
    <xf numFmtId="0" fontId="7" fillId="30" borderId="0" xfId="67" applyFont="1" applyFill="1" applyAlignment="1">
      <alignment vertical="center"/>
    </xf>
    <xf numFmtId="0" fontId="62" fillId="31" borderId="51" xfId="62" applyFont="1" applyFill="1" applyBorder="1" applyAlignment="1">
      <alignment horizontal="left" vertical="center" wrapText="1"/>
    </xf>
    <xf numFmtId="0" fontId="62" fillId="31" borderId="51" xfId="62" applyFont="1" applyFill="1" applyBorder="1" applyAlignment="1">
      <alignment horizontal="center" wrapText="1"/>
    </xf>
    <xf numFmtId="0" fontId="62" fillId="31" borderId="51" xfId="62" applyFont="1" applyFill="1" applyBorder="1"/>
    <xf numFmtId="10" fontId="62" fillId="31" borderId="51" xfId="62" applyNumberFormat="1" applyFont="1" applyFill="1" applyBorder="1"/>
    <xf numFmtId="0" fontId="62" fillId="31" borderId="52" xfId="62" applyFont="1" applyFill="1" applyBorder="1"/>
    <xf numFmtId="10" fontId="36" fillId="31" borderId="51" xfId="67" applyNumberFormat="1" applyFont="1" applyFill="1" applyBorder="1" applyAlignment="1">
      <alignment vertical="center"/>
    </xf>
    <xf numFmtId="3" fontId="7" fillId="31" borderId="51" xfId="67" applyNumberFormat="1" applyFont="1" applyFill="1" applyBorder="1" applyAlignment="1">
      <alignment horizontal="right" vertical="center"/>
    </xf>
    <xf numFmtId="168" fontId="36" fillId="31" borderId="51"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4" fontId="11" fillId="0" borderId="1" xfId="2" applyNumberFormat="1" applyFont="1" applyFill="1" applyBorder="1" applyAlignment="1">
      <alignment horizontal="center" vertical="center"/>
    </xf>
    <xf numFmtId="179" fontId="11" fillId="0" borderId="0" xfId="2" applyNumberFormat="1" applyFill="1"/>
    <xf numFmtId="10" fontId="40" fillId="0" borderId="36" xfId="71" quotePrefix="1" applyNumberFormat="1" applyFont="1" applyFill="1" applyBorder="1" applyAlignment="1">
      <alignment horizontal="justify" vertical="top" wrapText="1"/>
    </xf>
    <xf numFmtId="14" fontId="40" fillId="0" borderId="36" xfId="2" applyNumberFormat="1" applyFont="1" applyFill="1" applyBorder="1" applyAlignment="1">
      <alignment horizontal="justify" vertical="top" wrapText="1"/>
    </xf>
    <xf numFmtId="0" fontId="45" fillId="0" borderId="51" xfId="0" applyFont="1" applyBorder="1" applyAlignment="1">
      <alignment horizontal="left" vertical="center" wrapText="1"/>
    </xf>
    <xf numFmtId="0" fontId="7" fillId="0" borderId="51" xfId="1" applyFont="1" applyBorder="1" applyAlignment="1">
      <alignment horizontal="left"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9"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32" borderId="31" xfId="2" applyFont="1" applyFill="1" applyBorder="1" applyAlignment="1">
      <alignment horizontal="justify" vertical="top" wrapText="1"/>
    </xf>
    <xf numFmtId="4" fontId="40" fillId="32" borderId="31" xfId="2" applyNumberFormat="1" applyFont="1" applyFill="1" applyBorder="1" applyAlignment="1">
      <alignment horizontal="justify" vertical="top" wrapText="1"/>
    </xf>
    <xf numFmtId="0" fontId="40" fillId="0" borderId="36" xfId="2" applyFont="1" applyFill="1" applyBorder="1" applyAlignment="1">
      <alignment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3"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-229147.67468513263</c:v>
                </c:pt>
                <c:pt idx="1">
                  <c:v>250725.77620388361</c:v>
                </c:pt>
                <c:pt idx="2">
                  <c:v>435420.79977119621</c:v>
                </c:pt>
                <c:pt idx="3">
                  <c:v>571302.69830397714</c:v>
                </c:pt>
                <c:pt idx="4">
                  <c:v>493871.07434139174</c:v>
                </c:pt>
                <c:pt idx="5">
                  <c:v>426939.40710554417</c:v>
                </c:pt>
                <c:pt idx="6">
                  <c:v>369082.9807022902</c:v>
                </c:pt>
                <c:pt idx="7">
                  <c:v>319070.546954691</c:v>
                </c:pt>
                <c:pt idx="8">
                  <c:v>275838.02803009312</c:v>
                </c:pt>
                <c:pt idx="9">
                  <c:v>238465.79791969093</c:v>
                </c:pt>
                <c:pt idx="10">
                  <c:v>206159.05498308482</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-229147.67468513263</c:v>
                </c:pt>
                <c:pt idx="1">
                  <c:v>21578.101518750977</c:v>
                </c:pt>
                <c:pt idx="2">
                  <c:v>456998.90128994721</c:v>
                </c:pt>
                <c:pt idx="3">
                  <c:v>1028301.5995939244</c:v>
                </c:pt>
                <c:pt idx="4">
                  <c:v>1522172.673935316</c:v>
                </c:pt>
                <c:pt idx="5">
                  <c:v>1949112.0810408602</c:v>
                </c:pt>
                <c:pt idx="6">
                  <c:v>2318195.0617431505</c:v>
                </c:pt>
                <c:pt idx="7">
                  <c:v>2637265.6086978414</c:v>
                </c:pt>
                <c:pt idx="8">
                  <c:v>2913103.6367279347</c:v>
                </c:pt>
                <c:pt idx="9">
                  <c:v>3151569.4346476258</c:v>
                </c:pt>
                <c:pt idx="10">
                  <c:v>3357728.4896307108</c:v>
                </c:pt>
              </c:numCache>
            </c:numRef>
          </c:val>
          <c:smooth val="0"/>
        </c:ser>
        <c:dLbls>
          <c:showLegendKey val="0"/>
          <c:showVal val="0"/>
          <c:showCatName val="0"/>
          <c:showSerName val="0"/>
          <c:showPercent val="0"/>
          <c:showBubbleSize val="0"/>
        </c:dLbls>
        <c:smooth val="0"/>
        <c:axId val="486165512"/>
        <c:axId val="486165904"/>
      </c:lineChart>
      <c:catAx>
        <c:axId val="4861655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6165904"/>
        <c:crosses val="autoZero"/>
        <c:auto val="1"/>
        <c:lblAlgn val="ctr"/>
        <c:lblOffset val="100"/>
        <c:noMultiLvlLbl val="0"/>
      </c:catAx>
      <c:valAx>
        <c:axId val="4861659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61655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486166688"/>
        <c:axId val="557107696"/>
      </c:lineChart>
      <c:catAx>
        <c:axId val="486166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7107696"/>
        <c:crosses val="autoZero"/>
        <c:auto val="1"/>
        <c:lblAlgn val="ctr"/>
        <c:lblOffset val="100"/>
        <c:noMultiLvlLbl val="0"/>
      </c:catAx>
      <c:valAx>
        <c:axId val="5571076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6166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5.710937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90" t="s">
        <v>733</v>
      </c>
      <c r="B5" s="390"/>
      <c r="C5" s="390"/>
      <c r="D5" s="169"/>
      <c r="E5" s="169"/>
      <c r="F5" s="169"/>
      <c r="G5" s="169"/>
      <c r="H5" s="169"/>
      <c r="I5" s="169"/>
      <c r="J5" s="169"/>
    </row>
    <row r="6" spans="1:22" s="11" customFormat="1" ht="18.75" x14ac:dyDescent="0.3">
      <c r="A6" s="16"/>
      <c r="F6" s="15"/>
      <c r="G6" s="15"/>
      <c r="H6" s="14"/>
    </row>
    <row r="7" spans="1:22" s="11" customFormat="1" ht="18.75" x14ac:dyDescent="0.2">
      <c r="A7" s="394" t="s">
        <v>7</v>
      </c>
      <c r="B7" s="394"/>
      <c r="C7" s="39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5" t="s">
        <v>571</v>
      </c>
      <c r="B9" s="395"/>
      <c r="C9" s="395"/>
      <c r="D9" s="7"/>
      <c r="E9" s="7"/>
      <c r="F9" s="7"/>
      <c r="G9" s="7"/>
      <c r="H9" s="7"/>
      <c r="I9" s="12"/>
      <c r="J9" s="12"/>
      <c r="K9" s="12"/>
      <c r="L9" s="12"/>
      <c r="M9" s="12"/>
      <c r="N9" s="12"/>
      <c r="O9" s="12"/>
      <c r="P9" s="12"/>
      <c r="Q9" s="12"/>
      <c r="R9" s="12"/>
      <c r="S9" s="12"/>
      <c r="T9" s="12"/>
      <c r="U9" s="12"/>
      <c r="V9" s="12"/>
    </row>
    <row r="10" spans="1:22" s="11" customFormat="1" ht="18.75" x14ac:dyDescent="0.2">
      <c r="A10" s="391" t="s">
        <v>6</v>
      </c>
      <c r="B10" s="391"/>
      <c r="C10" s="39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3" t="s">
        <v>658</v>
      </c>
      <c r="B12" s="393"/>
      <c r="C12" s="393"/>
      <c r="D12" s="7"/>
      <c r="E12" s="7"/>
      <c r="F12" s="7"/>
      <c r="G12" s="7"/>
      <c r="H12" s="7"/>
      <c r="I12" s="12"/>
      <c r="J12" s="12"/>
      <c r="K12" s="12"/>
      <c r="L12" s="12"/>
      <c r="M12" s="12"/>
      <c r="N12" s="12"/>
      <c r="O12" s="12"/>
      <c r="P12" s="12"/>
      <c r="Q12" s="12"/>
      <c r="R12" s="12"/>
      <c r="S12" s="12"/>
      <c r="T12" s="12"/>
      <c r="U12" s="12"/>
      <c r="V12" s="12"/>
    </row>
    <row r="13" spans="1:22" s="11" customFormat="1" ht="18.75" x14ac:dyDescent="0.2">
      <c r="A13" s="391" t="s">
        <v>5</v>
      </c>
      <c r="B13" s="391"/>
      <c r="C13" s="39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96" t="s">
        <v>659</v>
      </c>
      <c r="B15" s="395"/>
      <c r="C15" s="395"/>
      <c r="D15" s="7"/>
      <c r="E15" s="7"/>
      <c r="F15" s="7"/>
      <c r="G15" s="7"/>
      <c r="H15" s="7"/>
      <c r="I15" s="7"/>
      <c r="J15" s="7"/>
      <c r="K15" s="7"/>
      <c r="L15" s="7"/>
      <c r="M15" s="7"/>
      <c r="N15" s="7"/>
      <c r="O15" s="7"/>
      <c r="P15" s="7"/>
      <c r="Q15" s="7"/>
      <c r="R15" s="7"/>
      <c r="S15" s="7"/>
      <c r="T15" s="7"/>
      <c r="U15" s="7"/>
      <c r="V15" s="7"/>
    </row>
    <row r="16" spans="1:22" s="3" customFormat="1" ht="15" customHeight="1" x14ac:dyDescent="0.2">
      <c r="A16" s="391" t="s">
        <v>4</v>
      </c>
      <c r="B16" s="391"/>
      <c r="C16" s="39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2" t="s">
        <v>510</v>
      </c>
      <c r="B18" s="393"/>
      <c r="C18" s="39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6" t="s">
        <v>3</v>
      </c>
      <c r="B20" s="39" t="s">
        <v>64</v>
      </c>
      <c r="C20" s="38" t="s">
        <v>63</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62</v>
      </c>
      <c r="B22" s="42" t="s">
        <v>346</v>
      </c>
      <c r="C22" s="41" t="s">
        <v>586</v>
      </c>
      <c r="D22" s="30" t="s">
        <v>582</v>
      </c>
      <c r="E22" s="30"/>
      <c r="F22" s="30"/>
      <c r="G22" s="30"/>
      <c r="H22" s="30"/>
      <c r="I22" s="29"/>
      <c r="J22" s="29"/>
      <c r="K22" s="29"/>
      <c r="L22" s="29"/>
      <c r="M22" s="29"/>
      <c r="N22" s="29"/>
      <c r="O22" s="29"/>
      <c r="P22" s="29"/>
      <c r="Q22" s="29"/>
      <c r="R22" s="29"/>
      <c r="S22" s="29"/>
      <c r="T22" s="28"/>
      <c r="U22" s="28"/>
      <c r="V22" s="28"/>
    </row>
    <row r="23" spans="1:22" s="3" customFormat="1" ht="63" x14ac:dyDescent="0.2">
      <c r="A23" s="25" t="s">
        <v>61</v>
      </c>
      <c r="B23" s="37" t="s">
        <v>623</v>
      </c>
      <c r="C23" s="269" t="s">
        <v>655</v>
      </c>
      <c r="D23" s="30" t="s">
        <v>572</v>
      </c>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387"/>
      <c r="B24" s="388"/>
      <c r="C24" s="389"/>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60</v>
      </c>
      <c r="B25" s="166" t="s">
        <v>459</v>
      </c>
      <c r="C25" s="36" t="s">
        <v>641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59</v>
      </c>
      <c r="B26" s="166" t="s">
        <v>72</v>
      </c>
      <c r="C26" s="36" t="s">
        <v>528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57</v>
      </c>
      <c r="B27" s="166" t="s">
        <v>71</v>
      </c>
      <c r="C27" s="275" t="s">
        <v>674</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56</v>
      </c>
      <c r="B28" s="166" t="s">
        <v>460</v>
      </c>
      <c r="C28" s="36" t="s">
        <v>530</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54</v>
      </c>
      <c r="B29" s="166" t="s">
        <v>461</v>
      </c>
      <c r="C29" s="36" t="s">
        <v>530</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52</v>
      </c>
      <c r="B30" s="166" t="s">
        <v>462</v>
      </c>
      <c r="C30" s="36" t="s">
        <v>530</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70</v>
      </c>
      <c r="B31" s="41" t="s">
        <v>463</v>
      </c>
      <c r="C31" s="36" t="s">
        <v>531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68</v>
      </c>
      <c r="B32" s="41" t="s">
        <v>464</v>
      </c>
      <c r="C32" s="36" t="s">
        <v>531</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67</v>
      </c>
      <c r="B33" s="41" t="s">
        <v>465</v>
      </c>
      <c r="C33" s="350" t="s">
        <v>656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479</v>
      </c>
      <c r="B34" s="41" t="s">
        <v>466</v>
      </c>
      <c r="C34" s="270" t="s">
        <v>530</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469</v>
      </c>
      <c r="B35" s="41" t="s">
        <v>69</v>
      </c>
      <c r="C35" s="26" t="s">
        <v>631</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480</v>
      </c>
      <c r="B36" s="41" t="s">
        <v>467</v>
      </c>
      <c r="C36" s="26" t="s">
        <v>530</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470</v>
      </c>
      <c r="B37" s="41" t="s">
        <v>468</v>
      </c>
      <c r="C37" s="36" t="s">
        <v>531</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481</v>
      </c>
      <c r="B38" s="41" t="s">
        <v>227</v>
      </c>
      <c r="C38" s="26" t="s">
        <v>631</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387"/>
      <c r="B39" s="388"/>
      <c r="C39" s="389"/>
      <c r="D39" s="24"/>
      <c r="E39" s="24"/>
      <c r="F39" s="24"/>
      <c r="G39" s="24"/>
      <c r="H39" s="24"/>
      <c r="I39" s="24"/>
      <c r="J39" s="24"/>
      <c r="K39" s="24"/>
      <c r="L39" s="24"/>
      <c r="M39" s="24"/>
      <c r="N39" s="24"/>
      <c r="O39" s="24"/>
      <c r="P39" s="24"/>
      <c r="Q39" s="24"/>
      <c r="R39" s="24"/>
      <c r="S39" s="24"/>
      <c r="T39" s="24"/>
      <c r="U39" s="24"/>
      <c r="V39" s="24"/>
    </row>
    <row r="40" spans="1:22" ht="63" x14ac:dyDescent="0.25">
      <c r="A40" s="25" t="s">
        <v>471</v>
      </c>
      <c r="B40" s="41" t="s">
        <v>523</v>
      </c>
      <c r="C40" s="2" t="str">
        <f>CONCATENATE("∆P10тп_тр = ",'3.1. паспорт Техсостояние ПС'!O27," МВА; SТПпотр=",'2. паспорт  ТП'!H23," МВт; Nсд_тпр=",'2. паспорт  ТП'!A22," договор; Фтз=",ROUND('5. анализ эконом эфф'!B122,2)," млн.руб.")</f>
        <v>∆P10тп_тр = 0,23 МВА; SТПпотр=0,3 МВт; Nсд_тпр=1 договор; Фтз=1,52 млн.руб.</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482</v>
      </c>
      <c r="B41" s="41" t="s">
        <v>505</v>
      </c>
      <c r="C41" s="2" t="s">
        <v>632</v>
      </c>
      <c r="D41" s="24" t="s">
        <v>639</v>
      </c>
      <c r="E41" s="24"/>
      <c r="F41" s="24"/>
      <c r="G41" s="24"/>
      <c r="H41" s="24"/>
      <c r="I41" s="24"/>
      <c r="J41" s="24"/>
      <c r="K41" s="24"/>
      <c r="L41" s="24"/>
      <c r="M41" s="24"/>
      <c r="N41" s="24"/>
      <c r="O41" s="24"/>
      <c r="P41" s="24"/>
      <c r="Q41" s="24"/>
      <c r="R41" s="24"/>
      <c r="S41" s="24"/>
      <c r="T41" s="24"/>
      <c r="U41" s="24"/>
      <c r="V41" s="24"/>
    </row>
    <row r="42" spans="1:22" ht="83.25" customHeight="1" x14ac:dyDescent="0.25">
      <c r="A42" s="25" t="s">
        <v>472</v>
      </c>
      <c r="B42" s="41" t="s">
        <v>520</v>
      </c>
      <c r="C42" s="2" t="s">
        <v>632</v>
      </c>
      <c r="D42" s="24" t="s">
        <v>639</v>
      </c>
      <c r="E42" s="24"/>
      <c r="F42" s="24"/>
      <c r="G42" s="24"/>
      <c r="H42" s="24"/>
      <c r="I42" s="24"/>
      <c r="J42" s="24"/>
      <c r="K42" s="24"/>
      <c r="L42" s="24"/>
      <c r="M42" s="24"/>
      <c r="N42" s="24"/>
      <c r="O42" s="24"/>
      <c r="P42" s="24"/>
      <c r="Q42" s="24"/>
      <c r="R42" s="24"/>
      <c r="S42" s="24"/>
      <c r="T42" s="24"/>
      <c r="U42" s="24"/>
      <c r="V42" s="24"/>
    </row>
    <row r="43" spans="1:22" ht="186" customHeight="1" x14ac:dyDescent="0.25">
      <c r="A43" s="25" t="s">
        <v>485</v>
      </c>
      <c r="B43" s="41" t="s">
        <v>486</v>
      </c>
      <c r="C43" s="2" t="s">
        <v>641</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473</v>
      </c>
      <c r="B44" s="41" t="s">
        <v>511</v>
      </c>
      <c r="C44" s="2" t="s">
        <v>641</v>
      </c>
      <c r="D44" s="24"/>
      <c r="E44" s="24"/>
      <c r="F44" s="24"/>
      <c r="G44" s="24"/>
      <c r="H44" s="24"/>
      <c r="I44" s="24"/>
      <c r="J44" s="24"/>
      <c r="K44" s="24"/>
      <c r="L44" s="24"/>
      <c r="M44" s="24"/>
      <c r="N44" s="24"/>
      <c r="O44" s="24"/>
      <c r="P44" s="24"/>
      <c r="Q44" s="24"/>
      <c r="R44" s="24"/>
      <c r="S44" s="24"/>
      <c r="T44" s="24"/>
      <c r="U44" s="24"/>
      <c r="V44" s="24"/>
    </row>
    <row r="45" spans="1:22" ht="89.25" customHeight="1" x14ac:dyDescent="0.25">
      <c r="A45" s="25" t="s">
        <v>506</v>
      </c>
      <c r="B45" s="41" t="s">
        <v>512</v>
      </c>
      <c r="C45" s="2" t="s">
        <v>641</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474</v>
      </c>
      <c r="B46" s="41" t="s">
        <v>513</v>
      </c>
      <c r="C46" s="2" t="s">
        <v>641</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387"/>
      <c r="B47" s="388"/>
      <c r="C47" s="389"/>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507</v>
      </c>
      <c r="B48" s="41" t="s">
        <v>521</v>
      </c>
      <c r="C48" s="338" t="str">
        <f>CONCATENATE(ROUND('6.2. Паспорт фин осв ввод'!U24,2)," млн.руб.")</f>
        <v>1,39 млн.руб.</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475</v>
      </c>
      <c r="B49" s="41" t="s">
        <v>522</v>
      </c>
      <c r="C49" s="338" t="str">
        <f>CONCATENATE(ROUND('6.2. Паспорт фин осв ввод'!U30,2)," млн.руб.")</f>
        <v>0 млн.руб.</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28" sqref="K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11.7109375" style="65" customWidth="1"/>
    <col min="12" max="19" width="11.7109375" style="64" customWidth="1"/>
    <col min="20" max="20" width="13.140625" style="64" customWidth="1"/>
    <col min="21" max="21" width="24.85546875" style="64" customWidth="1"/>
    <col min="22" max="22" width="9.140625" style="64"/>
    <col min="23" max="23" width="12.85546875" style="64" bestFit="1" customWidth="1"/>
    <col min="24" max="16384" width="9.140625" style="64"/>
  </cols>
  <sheetData>
    <row r="1" spans="1:21" ht="18.75" x14ac:dyDescent="0.25">
      <c r="A1" s="65"/>
      <c r="B1" s="65"/>
      <c r="C1" s="65"/>
      <c r="D1" s="65"/>
      <c r="E1" s="65"/>
      <c r="F1" s="65"/>
      <c r="L1" s="65"/>
      <c r="M1" s="65"/>
      <c r="U1" s="40" t="s">
        <v>66</v>
      </c>
    </row>
    <row r="2" spans="1:21" ht="18.75" x14ac:dyDescent="0.3">
      <c r="A2" s="65"/>
      <c r="B2" s="65"/>
      <c r="C2" s="65"/>
      <c r="D2" s="65"/>
      <c r="E2" s="65"/>
      <c r="F2" s="65"/>
      <c r="L2" s="65"/>
      <c r="M2" s="65"/>
      <c r="U2" s="14" t="s">
        <v>8</v>
      </c>
    </row>
    <row r="3" spans="1:21" ht="18.75" x14ac:dyDescent="0.3">
      <c r="A3" s="65"/>
      <c r="B3" s="65"/>
      <c r="C3" s="65"/>
      <c r="D3" s="65"/>
      <c r="E3" s="65"/>
      <c r="F3" s="65"/>
      <c r="L3" s="65"/>
      <c r="M3" s="65"/>
      <c r="U3" s="14" t="s">
        <v>65</v>
      </c>
    </row>
    <row r="4" spans="1:21" ht="18.75" customHeight="1" x14ac:dyDescent="0.25">
      <c r="A4" s="390" t="str">
        <f>'1. паспорт местоположение'!A5:C5</f>
        <v>Год раскрытия информации: 2022 год</v>
      </c>
      <c r="B4" s="390"/>
      <c r="C4" s="390"/>
      <c r="D4" s="390"/>
      <c r="E4" s="390"/>
      <c r="F4" s="390"/>
      <c r="G4" s="390"/>
      <c r="H4" s="390"/>
      <c r="I4" s="390"/>
      <c r="J4" s="390"/>
      <c r="K4" s="390"/>
      <c r="L4" s="390"/>
      <c r="M4" s="390"/>
      <c r="N4" s="390"/>
      <c r="O4" s="390"/>
      <c r="P4" s="390"/>
      <c r="Q4" s="390"/>
      <c r="R4" s="390"/>
      <c r="S4" s="390"/>
      <c r="T4" s="390"/>
      <c r="U4" s="390"/>
    </row>
    <row r="5" spans="1:21" ht="18.75" x14ac:dyDescent="0.3">
      <c r="A5" s="65"/>
      <c r="B5" s="65"/>
      <c r="C5" s="65"/>
      <c r="D5" s="65"/>
      <c r="E5" s="65"/>
      <c r="F5" s="65"/>
      <c r="L5" s="65"/>
      <c r="M5" s="65"/>
      <c r="U5" s="14"/>
    </row>
    <row r="6" spans="1:21" ht="18.75" x14ac:dyDescent="0.25">
      <c r="A6" s="394" t="s">
        <v>7</v>
      </c>
      <c r="B6" s="394"/>
      <c r="C6" s="394"/>
      <c r="D6" s="394"/>
      <c r="E6" s="394"/>
      <c r="F6" s="394"/>
      <c r="G6" s="394"/>
      <c r="H6" s="394"/>
      <c r="I6" s="394"/>
      <c r="J6" s="394"/>
      <c r="K6" s="394"/>
      <c r="L6" s="394"/>
      <c r="M6" s="394"/>
      <c r="N6" s="394"/>
      <c r="O6" s="394"/>
      <c r="P6" s="394"/>
      <c r="Q6" s="394"/>
      <c r="R6" s="394"/>
      <c r="S6" s="394"/>
      <c r="T6" s="394"/>
      <c r="U6" s="394"/>
    </row>
    <row r="7" spans="1:21" ht="18.75" x14ac:dyDescent="0.25">
      <c r="A7" s="12"/>
      <c r="B7" s="12"/>
      <c r="C7" s="12"/>
      <c r="D7" s="12"/>
      <c r="E7" s="12"/>
      <c r="F7" s="12"/>
      <c r="G7" s="12"/>
      <c r="H7" s="12"/>
      <c r="I7" s="12"/>
      <c r="J7" s="88"/>
      <c r="K7" s="88"/>
      <c r="L7" s="88"/>
      <c r="M7" s="88"/>
      <c r="N7" s="88"/>
      <c r="O7" s="88"/>
      <c r="P7" s="88"/>
      <c r="Q7" s="88"/>
      <c r="R7" s="88"/>
      <c r="S7" s="88"/>
      <c r="T7" s="88"/>
      <c r="U7" s="88"/>
    </row>
    <row r="8" spans="1:21" x14ac:dyDescent="0.25">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row>
    <row r="9" spans="1:21" ht="18.75" customHeight="1" x14ac:dyDescent="0.25">
      <c r="A9" s="391" t="s">
        <v>6</v>
      </c>
      <c r="B9" s="391"/>
      <c r="C9" s="391"/>
      <c r="D9" s="391"/>
      <c r="E9" s="391"/>
      <c r="F9" s="391"/>
      <c r="G9" s="391"/>
      <c r="H9" s="391"/>
      <c r="I9" s="391"/>
      <c r="J9" s="391"/>
      <c r="K9" s="391"/>
      <c r="L9" s="391"/>
      <c r="M9" s="391"/>
      <c r="N9" s="391"/>
      <c r="O9" s="391"/>
      <c r="P9" s="391"/>
      <c r="Q9" s="391"/>
      <c r="R9" s="391"/>
      <c r="S9" s="391"/>
      <c r="T9" s="391"/>
      <c r="U9" s="391"/>
    </row>
    <row r="10" spans="1:21" ht="18.75" x14ac:dyDescent="0.25">
      <c r="A10" s="12"/>
      <c r="B10" s="12"/>
      <c r="C10" s="12"/>
      <c r="D10" s="12"/>
      <c r="E10" s="12"/>
      <c r="F10" s="12"/>
      <c r="G10" s="12"/>
      <c r="H10" s="12"/>
      <c r="I10" s="12"/>
      <c r="J10" s="88"/>
      <c r="K10" s="88"/>
      <c r="L10" s="88"/>
      <c r="M10" s="88"/>
      <c r="N10" s="88"/>
      <c r="O10" s="88"/>
      <c r="P10" s="88"/>
      <c r="Q10" s="88"/>
      <c r="R10" s="88"/>
      <c r="S10" s="88"/>
      <c r="T10" s="88"/>
      <c r="U10" s="88"/>
    </row>
    <row r="11" spans="1:21" x14ac:dyDescent="0.25">
      <c r="A11" s="397" t="str">
        <f>'1. паспорт местоположение'!A12:C12</f>
        <v>J_18-1157</v>
      </c>
      <c r="B11" s="397"/>
      <c r="C11" s="397"/>
      <c r="D11" s="397"/>
      <c r="E11" s="397"/>
      <c r="F11" s="397"/>
      <c r="G11" s="397"/>
      <c r="H11" s="397"/>
      <c r="I11" s="397"/>
      <c r="J11" s="397"/>
      <c r="K11" s="397"/>
      <c r="L11" s="397"/>
      <c r="M11" s="397"/>
      <c r="N11" s="397"/>
      <c r="O11" s="397"/>
      <c r="P11" s="397"/>
      <c r="Q11" s="397"/>
      <c r="R11" s="397"/>
      <c r="S11" s="397"/>
      <c r="T11" s="397"/>
      <c r="U11" s="397"/>
    </row>
    <row r="12" spans="1:21" x14ac:dyDescent="0.25">
      <c r="A12" s="391" t="s">
        <v>5</v>
      </c>
      <c r="B12" s="391"/>
      <c r="C12" s="391"/>
      <c r="D12" s="391"/>
      <c r="E12" s="391"/>
      <c r="F12" s="391"/>
      <c r="G12" s="391"/>
      <c r="H12" s="391"/>
      <c r="I12" s="391"/>
      <c r="J12" s="391"/>
      <c r="K12" s="391"/>
      <c r="L12" s="391"/>
      <c r="M12" s="391"/>
      <c r="N12" s="391"/>
      <c r="O12" s="391"/>
      <c r="P12" s="391"/>
      <c r="Q12" s="391"/>
      <c r="R12" s="391"/>
      <c r="S12" s="391"/>
      <c r="T12" s="391"/>
      <c r="U12" s="391"/>
    </row>
    <row r="13" spans="1:21" ht="16.5" customHeight="1" x14ac:dyDescent="0.3">
      <c r="A13" s="10"/>
      <c r="B13" s="10"/>
      <c r="C13" s="10"/>
      <c r="D13" s="10"/>
      <c r="E13" s="10"/>
      <c r="F13" s="10"/>
      <c r="G13" s="10"/>
      <c r="H13" s="10"/>
      <c r="I13" s="10"/>
      <c r="J13" s="87"/>
      <c r="K13" s="87"/>
      <c r="L13" s="87"/>
      <c r="M13" s="87"/>
      <c r="N13" s="87"/>
      <c r="O13" s="87"/>
      <c r="P13" s="87"/>
      <c r="Q13" s="87"/>
      <c r="R13" s="87"/>
      <c r="S13" s="87"/>
      <c r="T13" s="87"/>
      <c r="U13" s="87"/>
    </row>
    <row r="14" spans="1:21" x14ac:dyDescent="0.25">
      <c r="A14" s="397" t="str">
        <f>'1. паспорт местоположение'!A15</f>
        <v>Реконструкция ТП 66 (инв. № 5351233), строительство ЛЭП 0,4 кВ от ТП 66, с установкой СП Нового по ул. Садовой в г. Черняховске</v>
      </c>
      <c r="B14" s="397"/>
      <c r="C14" s="397"/>
      <c r="D14" s="397"/>
      <c r="E14" s="397"/>
      <c r="F14" s="397"/>
      <c r="G14" s="397"/>
      <c r="H14" s="397"/>
      <c r="I14" s="397"/>
      <c r="J14" s="397"/>
      <c r="K14" s="397"/>
      <c r="L14" s="397"/>
      <c r="M14" s="397"/>
      <c r="N14" s="397"/>
      <c r="O14" s="397"/>
      <c r="P14" s="397"/>
      <c r="Q14" s="397"/>
      <c r="R14" s="397"/>
      <c r="S14" s="397"/>
      <c r="T14" s="397"/>
      <c r="U14" s="397"/>
    </row>
    <row r="15" spans="1:21" ht="15.75" customHeight="1" x14ac:dyDescent="0.25">
      <c r="A15" s="391" t="s">
        <v>4</v>
      </c>
      <c r="B15" s="391"/>
      <c r="C15" s="391"/>
      <c r="D15" s="391"/>
      <c r="E15" s="391"/>
      <c r="F15" s="391"/>
      <c r="G15" s="391"/>
      <c r="H15" s="391"/>
      <c r="I15" s="391"/>
      <c r="J15" s="391"/>
      <c r="K15" s="391"/>
      <c r="L15" s="391"/>
      <c r="M15" s="391"/>
      <c r="N15" s="391"/>
      <c r="O15" s="391"/>
      <c r="P15" s="391"/>
      <c r="Q15" s="391"/>
      <c r="R15" s="391"/>
      <c r="S15" s="391"/>
      <c r="T15" s="391"/>
      <c r="U15" s="391"/>
    </row>
    <row r="16" spans="1:21" x14ac:dyDescent="0.25">
      <c r="A16" s="470"/>
      <c r="B16" s="470"/>
      <c r="C16" s="470"/>
      <c r="D16" s="470"/>
      <c r="E16" s="470"/>
      <c r="F16" s="470"/>
      <c r="G16" s="470"/>
      <c r="H16" s="470"/>
      <c r="I16" s="470"/>
      <c r="J16" s="470"/>
      <c r="K16" s="470"/>
      <c r="L16" s="470"/>
      <c r="M16" s="470"/>
      <c r="N16" s="470"/>
      <c r="O16" s="470"/>
      <c r="P16" s="470"/>
      <c r="Q16" s="470"/>
      <c r="R16" s="470"/>
      <c r="S16" s="470"/>
      <c r="T16" s="470"/>
      <c r="U16" s="470"/>
    </row>
    <row r="17" spans="1:24" x14ac:dyDescent="0.25">
      <c r="A17" s="65"/>
      <c r="L17" s="65"/>
      <c r="M17" s="65"/>
      <c r="N17" s="65"/>
      <c r="O17" s="65"/>
      <c r="P17" s="65"/>
      <c r="Q17" s="65"/>
      <c r="R17" s="65"/>
      <c r="S17" s="65"/>
      <c r="T17" s="65"/>
    </row>
    <row r="18" spans="1:24" x14ac:dyDescent="0.25">
      <c r="A18" s="474" t="s">
        <v>495</v>
      </c>
      <c r="B18" s="474"/>
      <c r="C18" s="474"/>
      <c r="D18" s="474"/>
      <c r="E18" s="474"/>
      <c r="F18" s="474"/>
      <c r="G18" s="474"/>
      <c r="H18" s="474"/>
      <c r="I18" s="474"/>
      <c r="J18" s="474"/>
      <c r="K18" s="474"/>
      <c r="L18" s="474"/>
      <c r="M18" s="474"/>
      <c r="N18" s="474"/>
      <c r="O18" s="474"/>
      <c r="P18" s="474"/>
      <c r="Q18" s="474"/>
      <c r="R18" s="474"/>
      <c r="S18" s="474"/>
      <c r="T18" s="474"/>
      <c r="U18" s="474"/>
    </row>
    <row r="19" spans="1:24" x14ac:dyDescent="0.25">
      <c r="A19" s="65"/>
      <c r="B19" s="65"/>
      <c r="C19" s="65"/>
      <c r="D19" s="65"/>
      <c r="E19" s="65"/>
      <c r="F19" s="65"/>
      <c r="L19" s="65"/>
      <c r="M19" s="65"/>
      <c r="N19" s="65"/>
      <c r="O19" s="65"/>
      <c r="P19" s="65"/>
      <c r="Q19" s="65"/>
      <c r="R19" s="65"/>
      <c r="S19" s="65"/>
      <c r="T19" s="65"/>
    </row>
    <row r="20" spans="1:24" ht="33" customHeight="1" x14ac:dyDescent="0.25">
      <c r="A20" s="471" t="s">
        <v>183</v>
      </c>
      <c r="B20" s="471" t="s">
        <v>182</v>
      </c>
      <c r="C20" s="460" t="s">
        <v>181</v>
      </c>
      <c r="D20" s="460"/>
      <c r="E20" s="473" t="s">
        <v>180</v>
      </c>
      <c r="F20" s="473"/>
      <c r="G20" s="471" t="s">
        <v>729</v>
      </c>
      <c r="H20" s="479" t="s">
        <v>730</v>
      </c>
      <c r="I20" s="480"/>
      <c r="J20" s="480"/>
      <c r="K20" s="480"/>
      <c r="L20" s="479" t="s">
        <v>731</v>
      </c>
      <c r="M20" s="480"/>
      <c r="N20" s="480"/>
      <c r="O20" s="480"/>
      <c r="P20" s="479" t="s">
        <v>732</v>
      </c>
      <c r="Q20" s="480"/>
      <c r="R20" s="480"/>
      <c r="S20" s="480"/>
      <c r="T20" s="475" t="s">
        <v>179</v>
      </c>
      <c r="U20" s="476"/>
      <c r="V20" s="86"/>
      <c r="W20" s="86"/>
      <c r="X20" s="86"/>
    </row>
    <row r="21" spans="1:24" ht="99.75" customHeight="1" x14ac:dyDescent="0.25">
      <c r="A21" s="472"/>
      <c r="B21" s="472"/>
      <c r="C21" s="460"/>
      <c r="D21" s="460"/>
      <c r="E21" s="473"/>
      <c r="F21" s="473"/>
      <c r="G21" s="472"/>
      <c r="H21" s="460" t="s">
        <v>2</v>
      </c>
      <c r="I21" s="460"/>
      <c r="J21" s="460" t="s">
        <v>640</v>
      </c>
      <c r="K21" s="460"/>
      <c r="L21" s="460" t="s">
        <v>2</v>
      </c>
      <c r="M21" s="460"/>
      <c r="N21" s="460" t="s">
        <v>640</v>
      </c>
      <c r="O21" s="460"/>
      <c r="P21" s="460" t="s">
        <v>2</v>
      </c>
      <c r="Q21" s="460"/>
      <c r="R21" s="460" t="s">
        <v>640</v>
      </c>
      <c r="S21" s="460"/>
      <c r="T21" s="477"/>
      <c r="U21" s="478"/>
    </row>
    <row r="22" spans="1:24" ht="89.25" customHeight="1" x14ac:dyDescent="0.25">
      <c r="A22" s="467"/>
      <c r="B22" s="467"/>
      <c r="C22" s="83" t="s">
        <v>2</v>
      </c>
      <c r="D22" s="83" t="s">
        <v>178</v>
      </c>
      <c r="E22" s="85" t="s">
        <v>704</v>
      </c>
      <c r="F22" s="85" t="s">
        <v>728</v>
      </c>
      <c r="G22" s="467"/>
      <c r="H22" s="84" t="s">
        <v>476</v>
      </c>
      <c r="I22" s="84" t="s">
        <v>477</v>
      </c>
      <c r="J22" s="84" t="s">
        <v>476</v>
      </c>
      <c r="K22" s="84" t="s">
        <v>477</v>
      </c>
      <c r="L22" s="84" t="s">
        <v>476</v>
      </c>
      <c r="M22" s="84" t="s">
        <v>477</v>
      </c>
      <c r="N22" s="84" t="s">
        <v>476</v>
      </c>
      <c r="O22" s="84" t="s">
        <v>477</v>
      </c>
      <c r="P22" s="84" t="s">
        <v>476</v>
      </c>
      <c r="Q22" s="84" t="s">
        <v>477</v>
      </c>
      <c r="R22" s="84" t="s">
        <v>476</v>
      </c>
      <c r="S22" s="84" t="s">
        <v>477</v>
      </c>
      <c r="T22" s="83" t="s">
        <v>2</v>
      </c>
      <c r="U22" s="328" t="s">
        <v>9</v>
      </c>
    </row>
    <row r="23" spans="1:24" ht="19.5" customHeight="1" x14ac:dyDescent="0.25">
      <c r="A23" s="76">
        <v>1</v>
      </c>
      <c r="B23" s="76">
        <v>2</v>
      </c>
      <c r="C23" s="76">
        <v>3</v>
      </c>
      <c r="D23" s="76">
        <v>4</v>
      </c>
      <c r="E23" s="76">
        <v>5</v>
      </c>
      <c r="F23" s="76">
        <v>6</v>
      </c>
      <c r="G23" s="161">
        <v>7</v>
      </c>
      <c r="H23" s="161">
        <v>8</v>
      </c>
      <c r="I23" s="161">
        <v>9</v>
      </c>
      <c r="J23" s="161">
        <v>10</v>
      </c>
      <c r="K23" s="161">
        <v>11</v>
      </c>
      <c r="L23" s="161">
        <v>12</v>
      </c>
      <c r="M23" s="161">
        <v>13</v>
      </c>
      <c r="N23" s="161">
        <v>14</v>
      </c>
      <c r="O23" s="161">
        <v>15</v>
      </c>
      <c r="P23" s="161">
        <v>16</v>
      </c>
      <c r="Q23" s="161">
        <v>17</v>
      </c>
      <c r="R23" s="161">
        <v>18</v>
      </c>
      <c r="S23" s="161">
        <v>19</v>
      </c>
      <c r="T23" s="385">
        <v>20</v>
      </c>
      <c r="U23" s="385">
        <v>21</v>
      </c>
    </row>
    <row r="24" spans="1:24" ht="47.25" customHeight="1" x14ac:dyDescent="0.25">
      <c r="A24" s="81">
        <v>1</v>
      </c>
      <c r="B24" s="80" t="s">
        <v>177</v>
      </c>
      <c r="C24" s="329">
        <f>SUM(C25:C29)</f>
        <v>0</v>
      </c>
      <c r="D24" s="329">
        <f t="shared" ref="D24:S24" si="0">SUM(D25:D29)</f>
        <v>0</v>
      </c>
      <c r="E24" s="329">
        <f t="shared" si="0"/>
        <v>0</v>
      </c>
      <c r="F24" s="329">
        <f t="shared" si="0"/>
        <v>0</v>
      </c>
      <c r="G24" s="329">
        <f t="shared" ref="G24" si="1">SUM(G25:G29)</f>
        <v>0.12594655999999999</v>
      </c>
      <c r="H24" s="329">
        <f t="shared" si="0"/>
        <v>0</v>
      </c>
      <c r="I24" s="329">
        <f t="shared" si="0"/>
        <v>0</v>
      </c>
      <c r="J24" s="329">
        <f>SUM(J25:J29)</f>
        <v>1.3895883999999998</v>
      </c>
      <c r="K24" s="329">
        <f t="shared" si="0"/>
        <v>0</v>
      </c>
      <c r="L24" s="329">
        <f t="shared" si="0"/>
        <v>0</v>
      </c>
      <c r="M24" s="329">
        <f t="shared" si="0"/>
        <v>0</v>
      </c>
      <c r="N24" s="329">
        <f>SUM(N25:N29)</f>
        <v>0</v>
      </c>
      <c r="O24" s="329">
        <f t="shared" si="0"/>
        <v>0</v>
      </c>
      <c r="P24" s="329">
        <f t="shared" si="0"/>
        <v>0</v>
      </c>
      <c r="Q24" s="329">
        <f t="shared" si="0"/>
        <v>0</v>
      </c>
      <c r="R24" s="329">
        <f t="shared" si="0"/>
        <v>0</v>
      </c>
      <c r="S24" s="329">
        <f t="shared" si="0"/>
        <v>0</v>
      </c>
      <c r="T24" s="329">
        <f>H24+L24+P24</f>
        <v>0</v>
      </c>
      <c r="U24" s="337">
        <f>J24+N24+R24</f>
        <v>1.3895883999999998</v>
      </c>
      <c r="W24" s="386">
        <f>G24+U24</f>
        <v>1.5155349599999999</v>
      </c>
    </row>
    <row r="25" spans="1:24" ht="24" customHeight="1" x14ac:dyDescent="0.25">
      <c r="A25" s="78" t="s">
        <v>176</v>
      </c>
      <c r="B25" s="50" t="s">
        <v>175</v>
      </c>
      <c r="C25" s="329">
        <v>0</v>
      </c>
      <c r="D25" s="329">
        <v>0</v>
      </c>
      <c r="E25" s="331">
        <v>0</v>
      </c>
      <c r="F25" s="331">
        <v>0</v>
      </c>
      <c r="G25" s="330">
        <v>0</v>
      </c>
      <c r="H25" s="330">
        <v>0</v>
      </c>
      <c r="I25" s="330">
        <v>0</v>
      </c>
      <c r="J25" s="330">
        <v>0</v>
      </c>
      <c r="K25" s="330">
        <v>0</v>
      </c>
      <c r="L25" s="330">
        <v>0</v>
      </c>
      <c r="M25" s="330">
        <v>0</v>
      </c>
      <c r="N25" s="330">
        <v>0</v>
      </c>
      <c r="O25" s="330">
        <v>0</v>
      </c>
      <c r="P25" s="330">
        <v>0</v>
      </c>
      <c r="Q25" s="330">
        <v>0</v>
      </c>
      <c r="R25" s="330">
        <v>0</v>
      </c>
      <c r="S25" s="330">
        <v>0</v>
      </c>
      <c r="T25" s="329">
        <f t="shared" ref="T25:T64" si="2">H25+L25+P25</f>
        <v>0</v>
      </c>
      <c r="U25" s="337">
        <f t="shared" ref="U25:U64" si="3">J25+N25+R25</f>
        <v>0</v>
      </c>
    </row>
    <row r="26" spans="1:24" x14ac:dyDescent="0.25">
      <c r="A26" s="78" t="s">
        <v>174</v>
      </c>
      <c r="B26" s="50" t="s">
        <v>173</v>
      </c>
      <c r="C26" s="329">
        <v>0</v>
      </c>
      <c r="D26" s="329">
        <v>0</v>
      </c>
      <c r="E26" s="330">
        <v>0</v>
      </c>
      <c r="F26" s="330">
        <v>0</v>
      </c>
      <c r="G26" s="330">
        <v>0</v>
      </c>
      <c r="H26" s="330">
        <v>0</v>
      </c>
      <c r="I26" s="330">
        <v>0</v>
      </c>
      <c r="J26" s="330">
        <v>0</v>
      </c>
      <c r="K26" s="330">
        <v>0</v>
      </c>
      <c r="L26" s="330">
        <v>0</v>
      </c>
      <c r="M26" s="330">
        <v>0</v>
      </c>
      <c r="N26" s="330">
        <v>0</v>
      </c>
      <c r="O26" s="330">
        <v>0</v>
      </c>
      <c r="P26" s="330">
        <v>0</v>
      </c>
      <c r="Q26" s="330">
        <v>0</v>
      </c>
      <c r="R26" s="330">
        <v>0</v>
      </c>
      <c r="S26" s="330">
        <v>0</v>
      </c>
      <c r="T26" s="329">
        <f t="shared" si="2"/>
        <v>0</v>
      </c>
      <c r="U26" s="337">
        <f t="shared" si="3"/>
        <v>0</v>
      </c>
    </row>
    <row r="27" spans="1:24" ht="31.5" x14ac:dyDescent="0.25">
      <c r="A27" s="78" t="s">
        <v>172</v>
      </c>
      <c r="B27" s="50" t="s">
        <v>432</v>
      </c>
      <c r="C27" s="329">
        <v>0</v>
      </c>
      <c r="D27" s="329">
        <v>0</v>
      </c>
      <c r="E27" s="330">
        <v>0</v>
      </c>
      <c r="F27" s="330">
        <v>0</v>
      </c>
      <c r="G27" s="330">
        <v>0.12594655999999999</v>
      </c>
      <c r="H27" s="330">
        <v>0</v>
      </c>
      <c r="I27" s="330">
        <v>0</v>
      </c>
      <c r="J27" s="330">
        <v>1.3895883999999998</v>
      </c>
      <c r="K27" s="330">
        <v>0</v>
      </c>
      <c r="L27" s="330">
        <v>0</v>
      </c>
      <c r="M27" s="330">
        <v>0</v>
      </c>
      <c r="N27" s="332">
        <v>0</v>
      </c>
      <c r="O27" s="330">
        <v>0</v>
      </c>
      <c r="P27" s="330">
        <v>0</v>
      </c>
      <c r="Q27" s="330">
        <v>0</v>
      </c>
      <c r="R27" s="330">
        <v>0</v>
      </c>
      <c r="S27" s="330">
        <v>0</v>
      </c>
      <c r="T27" s="329">
        <f t="shared" si="2"/>
        <v>0</v>
      </c>
      <c r="U27" s="337">
        <f t="shared" si="3"/>
        <v>1.3895883999999998</v>
      </c>
    </row>
    <row r="28" spans="1:24" x14ac:dyDescent="0.25">
      <c r="A28" s="78" t="s">
        <v>171</v>
      </c>
      <c r="B28" s="50" t="s">
        <v>170</v>
      </c>
      <c r="C28" s="329">
        <v>0</v>
      </c>
      <c r="D28" s="329">
        <v>0</v>
      </c>
      <c r="E28" s="330">
        <v>0</v>
      </c>
      <c r="F28" s="330">
        <v>0</v>
      </c>
      <c r="G28" s="330">
        <v>0</v>
      </c>
      <c r="H28" s="330">
        <v>0</v>
      </c>
      <c r="I28" s="330">
        <v>0</v>
      </c>
      <c r="J28" s="330">
        <v>0</v>
      </c>
      <c r="K28" s="330">
        <v>0</v>
      </c>
      <c r="L28" s="330">
        <v>0</v>
      </c>
      <c r="M28" s="330">
        <v>0</v>
      </c>
      <c r="N28" s="330">
        <v>0</v>
      </c>
      <c r="O28" s="330">
        <v>0</v>
      </c>
      <c r="P28" s="330">
        <v>0</v>
      </c>
      <c r="Q28" s="330">
        <v>0</v>
      </c>
      <c r="R28" s="330">
        <v>0</v>
      </c>
      <c r="S28" s="330">
        <v>0</v>
      </c>
      <c r="T28" s="329">
        <f t="shared" si="2"/>
        <v>0</v>
      </c>
      <c r="U28" s="337">
        <f t="shared" si="3"/>
        <v>0</v>
      </c>
    </row>
    <row r="29" spans="1:24" x14ac:dyDescent="0.25">
      <c r="A29" s="78" t="s">
        <v>169</v>
      </c>
      <c r="B29" s="82" t="s">
        <v>168</v>
      </c>
      <c r="C29" s="329">
        <v>0</v>
      </c>
      <c r="D29" s="329">
        <v>0</v>
      </c>
      <c r="E29" s="330">
        <v>0</v>
      </c>
      <c r="F29" s="330">
        <v>0</v>
      </c>
      <c r="G29" s="330">
        <v>0</v>
      </c>
      <c r="H29" s="330">
        <v>0</v>
      </c>
      <c r="I29" s="330">
        <v>0</v>
      </c>
      <c r="J29" s="330">
        <v>0</v>
      </c>
      <c r="K29" s="330">
        <v>0</v>
      </c>
      <c r="L29" s="330">
        <v>0</v>
      </c>
      <c r="M29" s="330">
        <v>0</v>
      </c>
      <c r="N29" s="330">
        <v>0</v>
      </c>
      <c r="O29" s="330">
        <v>0</v>
      </c>
      <c r="P29" s="330">
        <v>0</v>
      </c>
      <c r="Q29" s="330">
        <v>0</v>
      </c>
      <c r="R29" s="330">
        <v>0</v>
      </c>
      <c r="S29" s="330">
        <v>0</v>
      </c>
      <c r="T29" s="329">
        <f t="shared" si="2"/>
        <v>0</v>
      </c>
      <c r="U29" s="337">
        <f t="shared" si="3"/>
        <v>0</v>
      </c>
    </row>
    <row r="30" spans="1:24" ht="47.25" x14ac:dyDescent="0.25">
      <c r="A30" s="81" t="s">
        <v>61</v>
      </c>
      <c r="B30" s="80" t="s">
        <v>167</v>
      </c>
      <c r="C30" s="329">
        <v>0</v>
      </c>
      <c r="D30" s="329">
        <v>0</v>
      </c>
      <c r="E30" s="333">
        <v>0</v>
      </c>
      <c r="F30" s="333">
        <v>0</v>
      </c>
      <c r="G30" s="329">
        <f t="shared" ref="G30" si="4">SUM(G31:G34)</f>
        <v>1.2802641299999999</v>
      </c>
      <c r="H30" s="329">
        <f>SUM(H31:H34)</f>
        <v>0</v>
      </c>
      <c r="I30" s="329">
        <f t="shared" ref="I30:S30" si="5">SUM(I31:I34)</f>
        <v>0</v>
      </c>
      <c r="J30" s="329">
        <f t="shared" si="5"/>
        <v>0</v>
      </c>
      <c r="K30" s="329">
        <f t="shared" si="5"/>
        <v>0</v>
      </c>
      <c r="L30" s="329">
        <f t="shared" si="5"/>
        <v>0</v>
      </c>
      <c r="M30" s="329">
        <f t="shared" si="5"/>
        <v>0</v>
      </c>
      <c r="N30" s="329">
        <f t="shared" si="5"/>
        <v>0</v>
      </c>
      <c r="O30" s="329">
        <f t="shared" si="5"/>
        <v>0</v>
      </c>
      <c r="P30" s="329">
        <f t="shared" si="5"/>
        <v>0</v>
      </c>
      <c r="Q30" s="329">
        <f t="shared" si="5"/>
        <v>0</v>
      </c>
      <c r="R30" s="329">
        <f t="shared" si="5"/>
        <v>0</v>
      </c>
      <c r="S30" s="329">
        <f t="shared" si="5"/>
        <v>0</v>
      </c>
      <c r="T30" s="329">
        <f t="shared" si="2"/>
        <v>0</v>
      </c>
      <c r="U30" s="337">
        <f t="shared" si="3"/>
        <v>0</v>
      </c>
      <c r="W30" s="386">
        <f>G30+U30</f>
        <v>1.2802641299999999</v>
      </c>
    </row>
    <row r="31" spans="1:24" x14ac:dyDescent="0.25">
      <c r="A31" s="81" t="s">
        <v>166</v>
      </c>
      <c r="B31" s="50" t="s">
        <v>165</v>
      </c>
      <c r="C31" s="329">
        <v>0</v>
      </c>
      <c r="D31" s="329">
        <v>0</v>
      </c>
      <c r="E31" s="330">
        <v>0</v>
      </c>
      <c r="F31" s="330">
        <v>0</v>
      </c>
      <c r="G31" s="330">
        <v>9.5534999999999995E-2</v>
      </c>
      <c r="H31" s="330">
        <v>0</v>
      </c>
      <c r="I31" s="330">
        <v>0</v>
      </c>
      <c r="J31" s="330">
        <v>0</v>
      </c>
      <c r="K31" s="330">
        <v>0</v>
      </c>
      <c r="L31" s="330">
        <v>0</v>
      </c>
      <c r="M31" s="330">
        <v>0</v>
      </c>
      <c r="N31" s="330">
        <v>0</v>
      </c>
      <c r="O31" s="330">
        <v>0</v>
      </c>
      <c r="P31" s="330">
        <v>0</v>
      </c>
      <c r="Q31" s="330">
        <v>0</v>
      </c>
      <c r="R31" s="330">
        <v>0</v>
      </c>
      <c r="S31" s="330">
        <v>0</v>
      </c>
      <c r="T31" s="329">
        <f t="shared" si="2"/>
        <v>0</v>
      </c>
      <c r="U31" s="337">
        <f t="shared" si="3"/>
        <v>0</v>
      </c>
    </row>
    <row r="32" spans="1:24" ht="31.5" x14ac:dyDescent="0.25">
      <c r="A32" s="81" t="s">
        <v>164</v>
      </c>
      <c r="B32" s="50" t="s">
        <v>163</v>
      </c>
      <c r="C32" s="329">
        <v>0</v>
      </c>
      <c r="D32" s="329">
        <v>0</v>
      </c>
      <c r="E32" s="330">
        <v>0</v>
      </c>
      <c r="F32" s="330">
        <v>0</v>
      </c>
      <c r="G32" s="330">
        <v>0.44835512999999999</v>
      </c>
      <c r="H32" s="330">
        <v>0</v>
      </c>
      <c r="I32" s="330">
        <v>0</v>
      </c>
      <c r="J32" s="330">
        <v>0</v>
      </c>
      <c r="K32" s="330">
        <v>0</v>
      </c>
      <c r="L32" s="330">
        <v>0</v>
      </c>
      <c r="M32" s="330">
        <v>0</v>
      </c>
      <c r="N32" s="330">
        <v>0</v>
      </c>
      <c r="O32" s="330">
        <v>0</v>
      </c>
      <c r="P32" s="330">
        <v>0</v>
      </c>
      <c r="Q32" s="330">
        <v>0</v>
      </c>
      <c r="R32" s="330">
        <v>0</v>
      </c>
      <c r="S32" s="330">
        <v>0</v>
      </c>
      <c r="T32" s="329">
        <f t="shared" si="2"/>
        <v>0</v>
      </c>
      <c r="U32" s="337">
        <f t="shared" si="3"/>
        <v>0</v>
      </c>
    </row>
    <row r="33" spans="1:21" x14ac:dyDescent="0.25">
      <c r="A33" s="81" t="s">
        <v>162</v>
      </c>
      <c r="B33" s="50" t="s">
        <v>161</v>
      </c>
      <c r="C33" s="329">
        <v>0</v>
      </c>
      <c r="D33" s="329">
        <v>0</v>
      </c>
      <c r="E33" s="330">
        <v>0</v>
      </c>
      <c r="F33" s="330">
        <v>0</v>
      </c>
      <c r="G33" s="330">
        <v>0.63336689000000002</v>
      </c>
      <c r="H33" s="330">
        <v>0</v>
      </c>
      <c r="I33" s="330">
        <v>0</v>
      </c>
      <c r="J33" s="330">
        <v>0</v>
      </c>
      <c r="K33" s="330">
        <v>0</v>
      </c>
      <c r="L33" s="330">
        <v>0</v>
      </c>
      <c r="M33" s="330">
        <v>0</v>
      </c>
      <c r="N33" s="330">
        <v>0</v>
      </c>
      <c r="O33" s="330">
        <v>0</v>
      </c>
      <c r="P33" s="330">
        <v>0</v>
      </c>
      <c r="Q33" s="330">
        <v>0</v>
      </c>
      <c r="R33" s="330">
        <v>0</v>
      </c>
      <c r="S33" s="330">
        <v>0</v>
      </c>
      <c r="T33" s="329">
        <f t="shared" si="2"/>
        <v>0</v>
      </c>
      <c r="U33" s="337">
        <f t="shared" si="3"/>
        <v>0</v>
      </c>
    </row>
    <row r="34" spans="1:21" x14ac:dyDescent="0.25">
      <c r="A34" s="81" t="s">
        <v>160</v>
      </c>
      <c r="B34" s="50" t="s">
        <v>159</v>
      </c>
      <c r="C34" s="329">
        <v>0</v>
      </c>
      <c r="D34" s="329">
        <v>0</v>
      </c>
      <c r="E34" s="330">
        <v>0</v>
      </c>
      <c r="F34" s="330">
        <v>0</v>
      </c>
      <c r="G34" s="330">
        <v>0.10300711</v>
      </c>
      <c r="H34" s="330">
        <v>0</v>
      </c>
      <c r="I34" s="330">
        <v>0</v>
      </c>
      <c r="J34" s="330">
        <v>0</v>
      </c>
      <c r="K34" s="330">
        <v>0</v>
      </c>
      <c r="L34" s="330">
        <v>0</v>
      </c>
      <c r="M34" s="330">
        <v>0</v>
      </c>
      <c r="N34" s="330">
        <v>0</v>
      </c>
      <c r="O34" s="330">
        <v>0</v>
      </c>
      <c r="P34" s="330">
        <v>0</v>
      </c>
      <c r="Q34" s="330">
        <v>0</v>
      </c>
      <c r="R34" s="330">
        <v>0</v>
      </c>
      <c r="S34" s="330">
        <v>0</v>
      </c>
      <c r="T34" s="329">
        <f t="shared" si="2"/>
        <v>0</v>
      </c>
      <c r="U34" s="337">
        <f t="shared" si="3"/>
        <v>0</v>
      </c>
    </row>
    <row r="35" spans="1:21" ht="31.5" x14ac:dyDescent="0.25">
      <c r="A35" s="81" t="s">
        <v>60</v>
      </c>
      <c r="B35" s="80" t="s">
        <v>158</v>
      </c>
      <c r="C35" s="329">
        <v>0</v>
      </c>
      <c r="D35" s="329">
        <v>0</v>
      </c>
      <c r="E35" s="333">
        <v>0</v>
      </c>
      <c r="F35" s="333">
        <v>0</v>
      </c>
      <c r="G35" s="329">
        <v>0</v>
      </c>
      <c r="H35" s="329">
        <v>0</v>
      </c>
      <c r="I35" s="329">
        <v>0</v>
      </c>
      <c r="J35" s="329">
        <v>0</v>
      </c>
      <c r="K35" s="329">
        <v>0</v>
      </c>
      <c r="L35" s="329">
        <v>0</v>
      </c>
      <c r="M35" s="329">
        <v>0</v>
      </c>
      <c r="N35" s="334">
        <v>0</v>
      </c>
      <c r="O35" s="329">
        <v>0</v>
      </c>
      <c r="P35" s="329">
        <v>0</v>
      </c>
      <c r="Q35" s="329">
        <v>0</v>
      </c>
      <c r="R35" s="329">
        <v>0</v>
      </c>
      <c r="S35" s="329">
        <v>0</v>
      </c>
      <c r="T35" s="329">
        <f t="shared" si="2"/>
        <v>0</v>
      </c>
      <c r="U35" s="337">
        <f t="shared" si="3"/>
        <v>0</v>
      </c>
    </row>
    <row r="36" spans="1:21" ht="31.5" x14ac:dyDescent="0.25">
      <c r="A36" s="78" t="s">
        <v>157</v>
      </c>
      <c r="B36" s="77" t="s">
        <v>156</v>
      </c>
      <c r="C36" s="335">
        <v>0</v>
      </c>
      <c r="D36" s="329">
        <v>0</v>
      </c>
      <c r="E36" s="330">
        <v>0</v>
      </c>
      <c r="F36" s="330">
        <v>0</v>
      </c>
      <c r="G36" s="330">
        <v>0</v>
      </c>
      <c r="H36" s="330">
        <v>0</v>
      </c>
      <c r="I36" s="330">
        <v>0</v>
      </c>
      <c r="J36" s="330">
        <v>0</v>
      </c>
      <c r="K36" s="330">
        <v>0</v>
      </c>
      <c r="L36" s="330">
        <v>0</v>
      </c>
      <c r="M36" s="330">
        <v>0</v>
      </c>
      <c r="N36" s="330">
        <v>0</v>
      </c>
      <c r="O36" s="330">
        <v>0</v>
      </c>
      <c r="P36" s="330">
        <v>0</v>
      </c>
      <c r="Q36" s="330">
        <v>0</v>
      </c>
      <c r="R36" s="330">
        <v>0</v>
      </c>
      <c r="S36" s="330">
        <v>0</v>
      </c>
      <c r="T36" s="329">
        <f t="shared" si="2"/>
        <v>0</v>
      </c>
      <c r="U36" s="337">
        <f t="shared" si="3"/>
        <v>0</v>
      </c>
    </row>
    <row r="37" spans="1:21" x14ac:dyDescent="0.25">
      <c r="A37" s="78" t="s">
        <v>155</v>
      </c>
      <c r="B37" s="77" t="s">
        <v>145</v>
      </c>
      <c r="C37" s="335">
        <v>0</v>
      </c>
      <c r="D37" s="329">
        <v>0</v>
      </c>
      <c r="E37" s="330">
        <v>0</v>
      </c>
      <c r="F37" s="330">
        <v>0</v>
      </c>
      <c r="G37" s="330">
        <v>0.63</v>
      </c>
      <c r="H37" s="330">
        <v>0</v>
      </c>
      <c r="I37" s="330">
        <v>0</v>
      </c>
      <c r="J37" s="330">
        <v>0</v>
      </c>
      <c r="K37" s="330">
        <v>0</v>
      </c>
      <c r="L37" s="330">
        <v>0</v>
      </c>
      <c r="M37" s="330">
        <v>0</v>
      </c>
      <c r="N37" s="332">
        <v>0</v>
      </c>
      <c r="O37" s="330">
        <v>0</v>
      </c>
      <c r="P37" s="330">
        <v>0</v>
      </c>
      <c r="Q37" s="330">
        <v>0</v>
      </c>
      <c r="R37" s="330">
        <v>0</v>
      </c>
      <c r="S37" s="330">
        <v>0</v>
      </c>
      <c r="T37" s="329">
        <f t="shared" si="2"/>
        <v>0</v>
      </c>
      <c r="U37" s="337">
        <f t="shared" si="3"/>
        <v>0</v>
      </c>
    </row>
    <row r="38" spans="1:21" x14ac:dyDescent="0.25">
      <c r="A38" s="78" t="s">
        <v>154</v>
      </c>
      <c r="B38" s="77" t="s">
        <v>143</v>
      </c>
      <c r="C38" s="335">
        <v>0</v>
      </c>
      <c r="D38" s="329">
        <v>0</v>
      </c>
      <c r="E38" s="330">
        <v>0</v>
      </c>
      <c r="F38" s="330">
        <v>0</v>
      </c>
      <c r="G38" s="330">
        <v>0</v>
      </c>
      <c r="H38" s="330">
        <v>0</v>
      </c>
      <c r="I38" s="330">
        <v>0</v>
      </c>
      <c r="J38" s="330">
        <v>0</v>
      </c>
      <c r="K38" s="330">
        <v>0</v>
      </c>
      <c r="L38" s="330">
        <v>0</v>
      </c>
      <c r="M38" s="330">
        <v>0</v>
      </c>
      <c r="N38" s="330">
        <v>0</v>
      </c>
      <c r="O38" s="330">
        <v>0</v>
      </c>
      <c r="P38" s="330">
        <v>0</v>
      </c>
      <c r="Q38" s="330">
        <v>0</v>
      </c>
      <c r="R38" s="330">
        <v>0</v>
      </c>
      <c r="S38" s="330">
        <v>0</v>
      </c>
      <c r="T38" s="329">
        <f t="shared" si="2"/>
        <v>0</v>
      </c>
      <c r="U38" s="337">
        <f t="shared" si="3"/>
        <v>0</v>
      </c>
    </row>
    <row r="39" spans="1:21" ht="31.5" x14ac:dyDescent="0.25">
      <c r="A39" s="78" t="s">
        <v>153</v>
      </c>
      <c r="B39" s="50" t="s">
        <v>141</v>
      </c>
      <c r="C39" s="329">
        <v>0</v>
      </c>
      <c r="D39" s="329">
        <v>0</v>
      </c>
      <c r="E39" s="330">
        <v>0</v>
      </c>
      <c r="F39" s="330">
        <v>0</v>
      </c>
      <c r="G39" s="330">
        <v>0</v>
      </c>
      <c r="H39" s="330">
        <v>0</v>
      </c>
      <c r="I39" s="330">
        <v>0</v>
      </c>
      <c r="J39" s="330">
        <v>0</v>
      </c>
      <c r="K39" s="330">
        <v>0</v>
      </c>
      <c r="L39" s="330">
        <v>0</v>
      </c>
      <c r="M39" s="330">
        <v>0</v>
      </c>
      <c r="N39" s="330">
        <v>0</v>
      </c>
      <c r="O39" s="330">
        <v>0</v>
      </c>
      <c r="P39" s="330">
        <v>0</v>
      </c>
      <c r="Q39" s="330">
        <v>0</v>
      </c>
      <c r="R39" s="330">
        <v>0</v>
      </c>
      <c r="S39" s="330">
        <v>0</v>
      </c>
      <c r="T39" s="329">
        <f t="shared" si="2"/>
        <v>0</v>
      </c>
      <c r="U39" s="337">
        <f t="shared" si="3"/>
        <v>0</v>
      </c>
    </row>
    <row r="40" spans="1:21" ht="31.5" x14ac:dyDescent="0.25">
      <c r="A40" s="78" t="s">
        <v>152</v>
      </c>
      <c r="B40" s="50" t="s">
        <v>139</v>
      </c>
      <c r="C40" s="329">
        <v>0</v>
      </c>
      <c r="D40" s="329">
        <v>0</v>
      </c>
      <c r="E40" s="330">
        <v>0</v>
      </c>
      <c r="F40" s="330">
        <v>0</v>
      </c>
      <c r="G40" s="330">
        <v>0</v>
      </c>
      <c r="H40" s="330">
        <v>0</v>
      </c>
      <c r="I40" s="330">
        <v>0</v>
      </c>
      <c r="J40" s="330">
        <v>0</v>
      </c>
      <c r="K40" s="330">
        <v>0</v>
      </c>
      <c r="L40" s="330">
        <v>0</v>
      </c>
      <c r="M40" s="330">
        <v>0</v>
      </c>
      <c r="N40" s="330">
        <v>0</v>
      </c>
      <c r="O40" s="330">
        <v>0</v>
      </c>
      <c r="P40" s="330">
        <v>0</v>
      </c>
      <c r="Q40" s="330">
        <v>0</v>
      </c>
      <c r="R40" s="330">
        <v>0</v>
      </c>
      <c r="S40" s="330">
        <v>0</v>
      </c>
      <c r="T40" s="329">
        <f t="shared" si="2"/>
        <v>0</v>
      </c>
      <c r="U40" s="337">
        <f t="shared" si="3"/>
        <v>0</v>
      </c>
    </row>
    <row r="41" spans="1:21" x14ac:dyDescent="0.25">
      <c r="A41" s="78" t="s">
        <v>151</v>
      </c>
      <c r="B41" s="50" t="s">
        <v>137</v>
      </c>
      <c r="C41" s="329">
        <v>0</v>
      </c>
      <c r="D41" s="329">
        <v>0</v>
      </c>
      <c r="E41" s="330">
        <v>0</v>
      </c>
      <c r="F41" s="330">
        <v>0</v>
      </c>
      <c r="G41" s="330">
        <v>0</v>
      </c>
      <c r="H41" s="330">
        <v>0</v>
      </c>
      <c r="I41" s="330">
        <v>0</v>
      </c>
      <c r="J41" s="330">
        <v>0</v>
      </c>
      <c r="K41" s="330">
        <v>0</v>
      </c>
      <c r="L41" s="330">
        <v>0</v>
      </c>
      <c r="M41" s="330">
        <v>0</v>
      </c>
      <c r="N41" s="330">
        <v>0</v>
      </c>
      <c r="O41" s="330">
        <v>0</v>
      </c>
      <c r="P41" s="330">
        <v>0</v>
      </c>
      <c r="Q41" s="330">
        <v>0</v>
      </c>
      <c r="R41" s="330">
        <v>0</v>
      </c>
      <c r="S41" s="330">
        <v>0</v>
      </c>
      <c r="T41" s="329">
        <f t="shared" si="2"/>
        <v>0</v>
      </c>
      <c r="U41" s="337">
        <f t="shared" si="3"/>
        <v>0</v>
      </c>
    </row>
    <row r="42" spans="1:21" ht="18.75" x14ac:dyDescent="0.25">
      <c r="A42" s="78" t="s">
        <v>150</v>
      </c>
      <c r="B42" s="77" t="s">
        <v>726</v>
      </c>
      <c r="C42" s="335">
        <v>0</v>
      </c>
      <c r="D42" s="329">
        <v>0</v>
      </c>
      <c r="E42" s="330">
        <v>0</v>
      </c>
      <c r="F42" s="330">
        <v>0</v>
      </c>
      <c r="G42" s="330">
        <v>1</v>
      </c>
      <c r="H42" s="330">
        <v>0</v>
      </c>
      <c r="I42" s="330">
        <v>0</v>
      </c>
      <c r="J42" s="330">
        <v>0</v>
      </c>
      <c r="K42" s="330">
        <v>0</v>
      </c>
      <c r="L42" s="330">
        <v>0</v>
      </c>
      <c r="M42" s="330">
        <v>0</v>
      </c>
      <c r="N42" s="330">
        <v>0</v>
      </c>
      <c r="O42" s="330">
        <v>0</v>
      </c>
      <c r="P42" s="330">
        <v>0</v>
      </c>
      <c r="Q42" s="330">
        <v>0</v>
      </c>
      <c r="R42" s="330">
        <v>0</v>
      </c>
      <c r="S42" s="330">
        <v>0</v>
      </c>
      <c r="T42" s="329">
        <f t="shared" si="2"/>
        <v>0</v>
      </c>
      <c r="U42" s="337">
        <f t="shared" si="3"/>
        <v>0</v>
      </c>
    </row>
    <row r="43" spans="1:21" x14ac:dyDescent="0.25">
      <c r="A43" s="81" t="s">
        <v>59</v>
      </c>
      <c r="B43" s="80" t="s">
        <v>149</v>
      </c>
      <c r="C43" s="329">
        <v>0</v>
      </c>
      <c r="D43" s="329">
        <v>0</v>
      </c>
      <c r="E43" s="333">
        <v>0</v>
      </c>
      <c r="F43" s="333">
        <v>0</v>
      </c>
      <c r="G43" s="329">
        <v>0</v>
      </c>
      <c r="H43" s="329">
        <v>0</v>
      </c>
      <c r="I43" s="329">
        <v>0</v>
      </c>
      <c r="J43" s="329">
        <v>0</v>
      </c>
      <c r="K43" s="329">
        <v>0</v>
      </c>
      <c r="L43" s="329">
        <v>0</v>
      </c>
      <c r="M43" s="329">
        <v>0</v>
      </c>
      <c r="N43" s="334">
        <v>0</v>
      </c>
      <c r="O43" s="329">
        <v>0</v>
      </c>
      <c r="P43" s="329">
        <v>0</v>
      </c>
      <c r="Q43" s="329">
        <v>0</v>
      </c>
      <c r="R43" s="329">
        <v>0</v>
      </c>
      <c r="S43" s="329">
        <v>0</v>
      </c>
      <c r="T43" s="329">
        <f t="shared" si="2"/>
        <v>0</v>
      </c>
      <c r="U43" s="337">
        <f t="shared" si="3"/>
        <v>0</v>
      </c>
    </row>
    <row r="44" spans="1:21" x14ac:dyDescent="0.25">
      <c r="A44" s="78" t="s">
        <v>148</v>
      </c>
      <c r="B44" s="50" t="s">
        <v>147</v>
      </c>
      <c r="C44" s="329">
        <v>0</v>
      </c>
      <c r="D44" s="329">
        <v>0</v>
      </c>
      <c r="E44" s="330">
        <v>0</v>
      </c>
      <c r="F44" s="330">
        <v>0</v>
      </c>
      <c r="G44" s="330">
        <v>0</v>
      </c>
      <c r="H44" s="330">
        <v>0</v>
      </c>
      <c r="I44" s="330">
        <v>0</v>
      </c>
      <c r="J44" s="330">
        <v>0</v>
      </c>
      <c r="K44" s="330">
        <v>0</v>
      </c>
      <c r="L44" s="330">
        <v>0</v>
      </c>
      <c r="M44" s="330">
        <v>0</v>
      </c>
      <c r="N44" s="330">
        <v>0</v>
      </c>
      <c r="O44" s="330">
        <v>0</v>
      </c>
      <c r="P44" s="330">
        <v>0</v>
      </c>
      <c r="Q44" s="330">
        <v>0</v>
      </c>
      <c r="R44" s="330">
        <v>0</v>
      </c>
      <c r="S44" s="330">
        <v>0</v>
      </c>
      <c r="T44" s="329">
        <f t="shared" si="2"/>
        <v>0</v>
      </c>
      <c r="U44" s="337">
        <f t="shared" si="3"/>
        <v>0</v>
      </c>
    </row>
    <row r="45" spans="1:21" x14ac:dyDescent="0.25">
      <c r="A45" s="78" t="s">
        <v>146</v>
      </c>
      <c r="B45" s="50" t="s">
        <v>145</v>
      </c>
      <c r="C45" s="329">
        <v>0</v>
      </c>
      <c r="D45" s="329">
        <v>0</v>
      </c>
      <c r="E45" s="330">
        <v>0</v>
      </c>
      <c r="F45" s="330">
        <v>0</v>
      </c>
      <c r="G45" s="330">
        <f>G37</f>
        <v>0.63</v>
      </c>
      <c r="H45" s="330">
        <v>0</v>
      </c>
      <c r="I45" s="330">
        <v>0</v>
      </c>
      <c r="J45" s="330">
        <v>0</v>
      </c>
      <c r="K45" s="330">
        <v>0</v>
      </c>
      <c r="L45" s="330">
        <v>0</v>
      </c>
      <c r="M45" s="330">
        <v>0</v>
      </c>
      <c r="N45" s="332">
        <v>0</v>
      </c>
      <c r="O45" s="330">
        <v>0</v>
      </c>
      <c r="P45" s="330">
        <v>0</v>
      </c>
      <c r="Q45" s="330">
        <v>0</v>
      </c>
      <c r="R45" s="330">
        <v>0</v>
      </c>
      <c r="S45" s="330">
        <v>0</v>
      </c>
      <c r="T45" s="329">
        <f t="shared" si="2"/>
        <v>0</v>
      </c>
      <c r="U45" s="337">
        <f t="shared" si="3"/>
        <v>0</v>
      </c>
    </row>
    <row r="46" spans="1:21" x14ac:dyDescent="0.25">
      <c r="A46" s="78" t="s">
        <v>144</v>
      </c>
      <c r="B46" s="50" t="s">
        <v>143</v>
      </c>
      <c r="C46" s="329">
        <v>0</v>
      </c>
      <c r="D46" s="329">
        <v>0</v>
      </c>
      <c r="E46" s="330">
        <v>0</v>
      </c>
      <c r="F46" s="330">
        <v>0</v>
      </c>
      <c r="G46" s="330">
        <f t="shared" ref="G46:G50" si="6">G38</f>
        <v>0</v>
      </c>
      <c r="H46" s="330">
        <v>0</v>
      </c>
      <c r="I46" s="330">
        <v>0</v>
      </c>
      <c r="J46" s="330">
        <v>0</v>
      </c>
      <c r="K46" s="330">
        <v>0</v>
      </c>
      <c r="L46" s="330">
        <v>0</v>
      </c>
      <c r="M46" s="330">
        <v>0</v>
      </c>
      <c r="N46" s="330">
        <v>0</v>
      </c>
      <c r="O46" s="330">
        <v>0</v>
      </c>
      <c r="P46" s="330">
        <v>0</v>
      </c>
      <c r="Q46" s="330">
        <v>0</v>
      </c>
      <c r="R46" s="330">
        <v>0</v>
      </c>
      <c r="S46" s="330">
        <v>0</v>
      </c>
      <c r="T46" s="329">
        <f t="shared" si="2"/>
        <v>0</v>
      </c>
      <c r="U46" s="337">
        <f t="shared" si="3"/>
        <v>0</v>
      </c>
    </row>
    <row r="47" spans="1:21" ht="31.5" x14ac:dyDescent="0.25">
      <c r="A47" s="78" t="s">
        <v>142</v>
      </c>
      <c r="B47" s="50" t="s">
        <v>141</v>
      </c>
      <c r="C47" s="329">
        <v>0</v>
      </c>
      <c r="D47" s="329">
        <v>0</v>
      </c>
      <c r="E47" s="330">
        <v>0</v>
      </c>
      <c r="F47" s="330">
        <v>0</v>
      </c>
      <c r="G47" s="330">
        <f t="shared" si="6"/>
        <v>0</v>
      </c>
      <c r="H47" s="330">
        <v>0</v>
      </c>
      <c r="I47" s="330">
        <v>0</v>
      </c>
      <c r="J47" s="330">
        <v>0</v>
      </c>
      <c r="K47" s="330">
        <v>0</v>
      </c>
      <c r="L47" s="330">
        <v>0</v>
      </c>
      <c r="M47" s="330">
        <v>0</v>
      </c>
      <c r="N47" s="330">
        <v>0</v>
      </c>
      <c r="O47" s="330">
        <v>0</v>
      </c>
      <c r="P47" s="330">
        <v>0</v>
      </c>
      <c r="Q47" s="330">
        <v>0</v>
      </c>
      <c r="R47" s="330">
        <v>0</v>
      </c>
      <c r="S47" s="330">
        <v>0</v>
      </c>
      <c r="T47" s="329">
        <f t="shared" si="2"/>
        <v>0</v>
      </c>
      <c r="U47" s="337">
        <f t="shared" si="3"/>
        <v>0</v>
      </c>
    </row>
    <row r="48" spans="1:21" ht="31.5" x14ac:dyDescent="0.25">
      <c r="A48" s="78" t="s">
        <v>140</v>
      </c>
      <c r="B48" s="50" t="s">
        <v>139</v>
      </c>
      <c r="C48" s="329">
        <v>0</v>
      </c>
      <c r="D48" s="329">
        <v>0</v>
      </c>
      <c r="E48" s="330">
        <v>0</v>
      </c>
      <c r="F48" s="330">
        <v>0</v>
      </c>
      <c r="G48" s="330">
        <f t="shared" si="6"/>
        <v>0</v>
      </c>
      <c r="H48" s="330">
        <v>0</v>
      </c>
      <c r="I48" s="330">
        <v>0</v>
      </c>
      <c r="J48" s="330">
        <v>0</v>
      </c>
      <c r="K48" s="330">
        <v>0</v>
      </c>
      <c r="L48" s="330">
        <v>0</v>
      </c>
      <c r="M48" s="330">
        <v>0</v>
      </c>
      <c r="N48" s="330">
        <v>0</v>
      </c>
      <c r="O48" s="330">
        <v>0</v>
      </c>
      <c r="P48" s="330">
        <v>0</v>
      </c>
      <c r="Q48" s="330">
        <v>0</v>
      </c>
      <c r="R48" s="330">
        <v>0</v>
      </c>
      <c r="S48" s="330">
        <v>0</v>
      </c>
      <c r="T48" s="329">
        <f t="shared" si="2"/>
        <v>0</v>
      </c>
      <c r="U48" s="337">
        <f t="shared" si="3"/>
        <v>0</v>
      </c>
    </row>
    <row r="49" spans="1:23" x14ac:dyDescent="0.25">
      <c r="A49" s="78" t="s">
        <v>138</v>
      </c>
      <c r="B49" s="50" t="s">
        <v>137</v>
      </c>
      <c r="C49" s="329">
        <v>0</v>
      </c>
      <c r="D49" s="329">
        <v>0</v>
      </c>
      <c r="E49" s="330">
        <v>0</v>
      </c>
      <c r="F49" s="330">
        <v>0</v>
      </c>
      <c r="G49" s="330">
        <f t="shared" si="6"/>
        <v>0</v>
      </c>
      <c r="H49" s="330">
        <v>0</v>
      </c>
      <c r="I49" s="330">
        <v>0</v>
      </c>
      <c r="J49" s="330">
        <v>0</v>
      </c>
      <c r="K49" s="330">
        <v>0</v>
      </c>
      <c r="L49" s="330">
        <v>0</v>
      </c>
      <c r="M49" s="330">
        <v>0</v>
      </c>
      <c r="N49" s="330">
        <v>0</v>
      </c>
      <c r="O49" s="330">
        <v>0</v>
      </c>
      <c r="P49" s="330">
        <v>0</v>
      </c>
      <c r="Q49" s="330">
        <v>0</v>
      </c>
      <c r="R49" s="330">
        <v>0</v>
      </c>
      <c r="S49" s="330">
        <v>0</v>
      </c>
      <c r="T49" s="329">
        <f t="shared" si="2"/>
        <v>0</v>
      </c>
      <c r="U49" s="337">
        <f t="shared" si="3"/>
        <v>0</v>
      </c>
    </row>
    <row r="50" spans="1:23" ht="18.75" x14ac:dyDescent="0.25">
      <c r="A50" s="78" t="s">
        <v>136</v>
      </c>
      <c r="B50" s="77" t="s">
        <v>726</v>
      </c>
      <c r="C50" s="335">
        <v>0</v>
      </c>
      <c r="D50" s="329">
        <v>0</v>
      </c>
      <c r="E50" s="330">
        <v>0</v>
      </c>
      <c r="F50" s="330">
        <v>0</v>
      </c>
      <c r="G50" s="330">
        <f t="shared" si="6"/>
        <v>1</v>
      </c>
      <c r="H50" s="330">
        <v>0</v>
      </c>
      <c r="I50" s="330">
        <v>0</v>
      </c>
      <c r="J50" s="330">
        <v>0</v>
      </c>
      <c r="K50" s="330">
        <v>0</v>
      </c>
      <c r="L50" s="330">
        <v>0</v>
      </c>
      <c r="M50" s="330">
        <v>0</v>
      </c>
      <c r="N50" s="330">
        <v>0</v>
      </c>
      <c r="O50" s="330">
        <v>0</v>
      </c>
      <c r="P50" s="330">
        <v>0</v>
      </c>
      <c r="Q50" s="330">
        <v>0</v>
      </c>
      <c r="R50" s="330">
        <v>0</v>
      </c>
      <c r="S50" s="330">
        <v>0</v>
      </c>
      <c r="T50" s="329">
        <f t="shared" si="2"/>
        <v>0</v>
      </c>
      <c r="U50" s="337">
        <f t="shared" si="3"/>
        <v>0</v>
      </c>
    </row>
    <row r="51" spans="1:23" ht="35.25" customHeight="1" x14ac:dyDescent="0.25">
      <c r="A51" s="81" t="s">
        <v>57</v>
      </c>
      <c r="B51" s="80" t="s">
        <v>135</v>
      </c>
      <c r="C51" s="329">
        <v>0</v>
      </c>
      <c r="D51" s="329">
        <v>0</v>
      </c>
      <c r="E51" s="333">
        <v>0</v>
      </c>
      <c r="F51" s="333">
        <v>0</v>
      </c>
      <c r="G51" s="329">
        <v>0</v>
      </c>
      <c r="H51" s="329">
        <v>0</v>
      </c>
      <c r="I51" s="329">
        <v>0</v>
      </c>
      <c r="J51" s="329">
        <v>0</v>
      </c>
      <c r="K51" s="329">
        <v>0</v>
      </c>
      <c r="L51" s="329">
        <v>0</v>
      </c>
      <c r="M51" s="329">
        <v>0</v>
      </c>
      <c r="N51" s="334">
        <v>0</v>
      </c>
      <c r="O51" s="329">
        <v>0</v>
      </c>
      <c r="P51" s="329">
        <v>0</v>
      </c>
      <c r="Q51" s="329">
        <v>0</v>
      </c>
      <c r="R51" s="329">
        <v>0</v>
      </c>
      <c r="S51" s="329">
        <v>0</v>
      </c>
      <c r="T51" s="329">
        <f t="shared" si="2"/>
        <v>0</v>
      </c>
      <c r="U51" s="337">
        <f t="shared" si="3"/>
        <v>0</v>
      </c>
    </row>
    <row r="52" spans="1:23" x14ac:dyDescent="0.25">
      <c r="A52" s="78" t="s">
        <v>134</v>
      </c>
      <c r="B52" s="50" t="s">
        <v>133</v>
      </c>
      <c r="C52" s="329">
        <v>0</v>
      </c>
      <c r="D52" s="329">
        <v>0</v>
      </c>
      <c r="E52" s="330">
        <v>0</v>
      </c>
      <c r="F52" s="330">
        <v>0</v>
      </c>
      <c r="G52" s="330">
        <v>1.2802641299999999</v>
      </c>
      <c r="H52" s="330">
        <v>0</v>
      </c>
      <c r="I52" s="330">
        <v>0</v>
      </c>
      <c r="J52" s="330">
        <v>0</v>
      </c>
      <c r="K52" s="330">
        <v>0</v>
      </c>
      <c r="L52" s="330">
        <v>0</v>
      </c>
      <c r="M52" s="330">
        <v>0</v>
      </c>
      <c r="N52" s="330">
        <v>0</v>
      </c>
      <c r="O52" s="330">
        <v>0</v>
      </c>
      <c r="P52" s="330">
        <v>0</v>
      </c>
      <c r="Q52" s="330">
        <v>0</v>
      </c>
      <c r="R52" s="330">
        <v>0</v>
      </c>
      <c r="S52" s="330">
        <v>0</v>
      </c>
      <c r="T52" s="329">
        <f t="shared" si="2"/>
        <v>0</v>
      </c>
      <c r="U52" s="337">
        <f t="shared" si="3"/>
        <v>0</v>
      </c>
      <c r="W52" s="386">
        <f>G52+U52</f>
        <v>1.2802641299999999</v>
      </c>
    </row>
    <row r="53" spans="1:23" x14ac:dyDescent="0.25">
      <c r="A53" s="78" t="s">
        <v>132</v>
      </c>
      <c r="B53" s="50" t="s">
        <v>126</v>
      </c>
      <c r="C53" s="329">
        <v>0</v>
      </c>
      <c r="D53" s="329">
        <v>0</v>
      </c>
      <c r="E53" s="330">
        <v>0</v>
      </c>
      <c r="F53" s="330">
        <v>0</v>
      </c>
      <c r="G53" s="330">
        <v>0</v>
      </c>
      <c r="H53" s="330">
        <v>0</v>
      </c>
      <c r="I53" s="330">
        <v>0</v>
      </c>
      <c r="J53" s="330">
        <v>0</v>
      </c>
      <c r="K53" s="330">
        <v>0</v>
      </c>
      <c r="L53" s="330">
        <v>0</v>
      </c>
      <c r="M53" s="330">
        <v>0</v>
      </c>
      <c r="N53" s="332">
        <v>0</v>
      </c>
      <c r="O53" s="330">
        <v>0</v>
      </c>
      <c r="P53" s="330">
        <v>0</v>
      </c>
      <c r="Q53" s="330">
        <v>0</v>
      </c>
      <c r="R53" s="330">
        <v>0</v>
      </c>
      <c r="S53" s="330">
        <v>0</v>
      </c>
      <c r="T53" s="329">
        <f t="shared" si="2"/>
        <v>0</v>
      </c>
      <c r="U53" s="337">
        <f t="shared" si="3"/>
        <v>0</v>
      </c>
    </row>
    <row r="54" spans="1:23" x14ac:dyDescent="0.25">
      <c r="A54" s="78" t="s">
        <v>131</v>
      </c>
      <c r="B54" s="77" t="s">
        <v>125</v>
      </c>
      <c r="C54" s="335">
        <v>0</v>
      </c>
      <c r="D54" s="329">
        <v>0</v>
      </c>
      <c r="E54" s="330">
        <v>0</v>
      </c>
      <c r="F54" s="330">
        <v>0</v>
      </c>
      <c r="G54" s="330">
        <f>G45</f>
        <v>0.63</v>
      </c>
      <c r="H54" s="330">
        <v>0</v>
      </c>
      <c r="I54" s="330">
        <v>0</v>
      </c>
      <c r="J54" s="330">
        <v>0</v>
      </c>
      <c r="K54" s="330">
        <v>0</v>
      </c>
      <c r="L54" s="330">
        <v>0</v>
      </c>
      <c r="M54" s="330">
        <v>0</v>
      </c>
      <c r="N54" s="330">
        <v>0</v>
      </c>
      <c r="O54" s="330">
        <v>0</v>
      </c>
      <c r="P54" s="330">
        <v>0</v>
      </c>
      <c r="Q54" s="330">
        <v>0</v>
      </c>
      <c r="R54" s="330">
        <v>0</v>
      </c>
      <c r="S54" s="330">
        <v>0</v>
      </c>
      <c r="T54" s="329">
        <f t="shared" si="2"/>
        <v>0</v>
      </c>
      <c r="U54" s="337">
        <f t="shared" si="3"/>
        <v>0</v>
      </c>
    </row>
    <row r="55" spans="1:23" x14ac:dyDescent="0.25">
      <c r="A55" s="78" t="s">
        <v>130</v>
      </c>
      <c r="B55" s="77" t="s">
        <v>124</v>
      </c>
      <c r="C55" s="335">
        <v>0</v>
      </c>
      <c r="D55" s="329">
        <v>0</v>
      </c>
      <c r="E55" s="330">
        <v>0</v>
      </c>
      <c r="F55" s="330">
        <v>0</v>
      </c>
      <c r="G55" s="330">
        <v>0</v>
      </c>
      <c r="H55" s="330">
        <v>0</v>
      </c>
      <c r="I55" s="330">
        <v>0</v>
      </c>
      <c r="J55" s="330">
        <v>0</v>
      </c>
      <c r="K55" s="330">
        <v>0</v>
      </c>
      <c r="L55" s="330">
        <v>0</v>
      </c>
      <c r="M55" s="330">
        <v>0</v>
      </c>
      <c r="N55" s="330">
        <v>0</v>
      </c>
      <c r="O55" s="330">
        <v>0</v>
      </c>
      <c r="P55" s="330">
        <v>0</v>
      </c>
      <c r="Q55" s="330">
        <v>0</v>
      </c>
      <c r="R55" s="330">
        <v>0</v>
      </c>
      <c r="S55" s="330">
        <v>0</v>
      </c>
      <c r="T55" s="329">
        <f t="shared" si="2"/>
        <v>0</v>
      </c>
      <c r="U55" s="337">
        <f t="shared" si="3"/>
        <v>0</v>
      </c>
    </row>
    <row r="56" spans="1:23" x14ac:dyDescent="0.25">
      <c r="A56" s="78" t="s">
        <v>129</v>
      </c>
      <c r="B56" s="77" t="s">
        <v>123</v>
      </c>
      <c r="C56" s="335">
        <v>0</v>
      </c>
      <c r="D56" s="329">
        <v>0</v>
      </c>
      <c r="E56" s="330">
        <v>0</v>
      </c>
      <c r="F56" s="330">
        <v>0</v>
      </c>
      <c r="G56" s="330">
        <f>G47+G48+G49</f>
        <v>0</v>
      </c>
      <c r="H56" s="330">
        <v>0</v>
      </c>
      <c r="I56" s="330">
        <v>0</v>
      </c>
      <c r="J56" s="330">
        <v>0</v>
      </c>
      <c r="K56" s="330">
        <v>0</v>
      </c>
      <c r="L56" s="330">
        <v>0</v>
      </c>
      <c r="M56" s="330">
        <v>0</v>
      </c>
      <c r="N56" s="330">
        <v>0</v>
      </c>
      <c r="O56" s="330">
        <v>0</v>
      </c>
      <c r="P56" s="330">
        <v>0</v>
      </c>
      <c r="Q56" s="330">
        <v>0</v>
      </c>
      <c r="R56" s="330">
        <v>0</v>
      </c>
      <c r="S56" s="330">
        <v>0</v>
      </c>
      <c r="T56" s="329">
        <f t="shared" si="2"/>
        <v>0</v>
      </c>
      <c r="U56" s="337">
        <f t="shared" si="3"/>
        <v>0</v>
      </c>
    </row>
    <row r="57" spans="1:23" ht="18.75" x14ac:dyDescent="0.25">
      <c r="A57" s="78" t="s">
        <v>128</v>
      </c>
      <c r="B57" s="77" t="s">
        <v>726</v>
      </c>
      <c r="C57" s="335">
        <v>0</v>
      </c>
      <c r="D57" s="329">
        <v>0</v>
      </c>
      <c r="E57" s="330">
        <v>0</v>
      </c>
      <c r="F57" s="330">
        <v>0</v>
      </c>
      <c r="G57" s="330">
        <f>G50</f>
        <v>1</v>
      </c>
      <c r="H57" s="330">
        <v>0</v>
      </c>
      <c r="I57" s="330">
        <v>0</v>
      </c>
      <c r="J57" s="330">
        <v>0</v>
      </c>
      <c r="K57" s="330">
        <v>0</v>
      </c>
      <c r="L57" s="330">
        <v>0</v>
      </c>
      <c r="M57" s="330">
        <v>0</v>
      </c>
      <c r="N57" s="330">
        <v>0</v>
      </c>
      <c r="O57" s="330">
        <v>0</v>
      </c>
      <c r="P57" s="330">
        <v>0</v>
      </c>
      <c r="Q57" s="330">
        <v>0</v>
      </c>
      <c r="R57" s="330">
        <v>0</v>
      </c>
      <c r="S57" s="330">
        <v>0</v>
      </c>
      <c r="T57" s="329">
        <f t="shared" si="2"/>
        <v>0</v>
      </c>
      <c r="U57" s="337">
        <f t="shared" si="3"/>
        <v>0</v>
      </c>
    </row>
    <row r="58" spans="1:23" ht="36.75" customHeight="1" x14ac:dyDescent="0.25">
      <c r="A58" s="81" t="s">
        <v>56</v>
      </c>
      <c r="B58" s="102" t="s">
        <v>225</v>
      </c>
      <c r="C58" s="335">
        <v>0</v>
      </c>
      <c r="D58" s="329">
        <v>0</v>
      </c>
      <c r="E58" s="333">
        <v>0</v>
      </c>
      <c r="F58" s="333">
        <v>0</v>
      </c>
      <c r="G58" s="329">
        <v>0</v>
      </c>
      <c r="H58" s="329">
        <v>0</v>
      </c>
      <c r="I58" s="329">
        <v>0</v>
      </c>
      <c r="J58" s="329">
        <v>0</v>
      </c>
      <c r="K58" s="329">
        <v>0</v>
      </c>
      <c r="L58" s="329">
        <v>0</v>
      </c>
      <c r="M58" s="329">
        <v>0</v>
      </c>
      <c r="N58" s="334">
        <v>0</v>
      </c>
      <c r="O58" s="329">
        <v>0</v>
      </c>
      <c r="P58" s="329">
        <v>0</v>
      </c>
      <c r="Q58" s="329">
        <v>0</v>
      </c>
      <c r="R58" s="329">
        <v>0</v>
      </c>
      <c r="S58" s="329">
        <v>0</v>
      </c>
      <c r="T58" s="329">
        <f t="shared" si="2"/>
        <v>0</v>
      </c>
      <c r="U58" s="337">
        <f t="shared" si="3"/>
        <v>0</v>
      </c>
    </row>
    <row r="59" spans="1:23" x14ac:dyDescent="0.25">
      <c r="A59" s="81" t="s">
        <v>54</v>
      </c>
      <c r="B59" s="80" t="s">
        <v>127</v>
      </c>
      <c r="C59" s="329">
        <v>0</v>
      </c>
      <c r="D59" s="329">
        <v>0</v>
      </c>
      <c r="E59" s="333">
        <v>0</v>
      </c>
      <c r="F59" s="333">
        <v>0</v>
      </c>
      <c r="G59" s="329">
        <v>0</v>
      </c>
      <c r="H59" s="329">
        <v>0</v>
      </c>
      <c r="I59" s="329">
        <v>0</v>
      </c>
      <c r="J59" s="329">
        <v>0</v>
      </c>
      <c r="K59" s="329">
        <v>0</v>
      </c>
      <c r="L59" s="329">
        <v>0</v>
      </c>
      <c r="M59" s="329">
        <v>0</v>
      </c>
      <c r="N59" s="334">
        <v>0</v>
      </c>
      <c r="O59" s="329">
        <v>0</v>
      </c>
      <c r="P59" s="329">
        <v>0</v>
      </c>
      <c r="Q59" s="329">
        <v>0</v>
      </c>
      <c r="R59" s="329">
        <v>0</v>
      </c>
      <c r="S59" s="329">
        <v>0</v>
      </c>
      <c r="T59" s="329">
        <f t="shared" si="2"/>
        <v>0</v>
      </c>
      <c r="U59" s="337">
        <f t="shared" si="3"/>
        <v>0</v>
      </c>
    </row>
    <row r="60" spans="1:23" x14ac:dyDescent="0.25">
      <c r="A60" s="78" t="s">
        <v>219</v>
      </c>
      <c r="B60" s="79" t="s">
        <v>147</v>
      </c>
      <c r="C60" s="336">
        <v>0</v>
      </c>
      <c r="D60" s="329">
        <v>0</v>
      </c>
      <c r="E60" s="330">
        <v>0</v>
      </c>
      <c r="F60" s="330">
        <v>0</v>
      </c>
      <c r="G60" s="330">
        <v>0</v>
      </c>
      <c r="H60" s="330">
        <v>0</v>
      </c>
      <c r="I60" s="330">
        <v>0</v>
      </c>
      <c r="J60" s="330">
        <v>0</v>
      </c>
      <c r="K60" s="330">
        <v>0</v>
      </c>
      <c r="L60" s="330">
        <v>0</v>
      </c>
      <c r="M60" s="330">
        <v>0</v>
      </c>
      <c r="N60" s="330">
        <v>0</v>
      </c>
      <c r="O60" s="330">
        <v>0</v>
      </c>
      <c r="P60" s="330">
        <v>0</v>
      </c>
      <c r="Q60" s="330">
        <v>0</v>
      </c>
      <c r="R60" s="330">
        <v>0</v>
      </c>
      <c r="S60" s="330">
        <v>0</v>
      </c>
      <c r="T60" s="329">
        <f t="shared" si="2"/>
        <v>0</v>
      </c>
      <c r="U60" s="337">
        <f t="shared" si="3"/>
        <v>0</v>
      </c>
    </row>
    <row r="61" spans="1:23" x14ac:dyDescent="0.25">
      <c r="A61" s="78" t="s">
        <v>220</v>
      </c>
      <c r="B61" s="79" t="s">
        <v>145</v>
      </c>
      <c r="C61" s="336">
        <v>0</v>
      </c>
      <c r="D61" s="329">
        <v>0</v>
      </c>
      <c r="E61" s="330">
        <v>0</v>
      </c>
      <c r="F61" s="330">
        <v>0</v>
      </c>
      <c r="G61" s="330">
        <v>0.4</v>
      </c>
      <c r="H61" s="330">
        <v>0</v>
      </c>
      <c r="I61" s="330">
        <v>0</v>
      </c>
      <c r="J61" s="330">
        <v>0</v>
      </c>
      <c r="K61" s="330">
        <v>0</v>
      </c>
      <c r="L61" s="330">
        <v>0</v>
      </c>
      <c r="M61" s="330">
        <v>0</v>
      </c>
      <c r="N61" s="330">
        <v>0</v>
      </c>
      <c r="O61" s="330">
        <v>0</v>
      </c>
      <c r="P61" s="330">
        <v>0</v>
      </c>
      <c r="Q61" s="330">
        <v>0</v>
      </c>
      <c r="R61" s="330">
        <v>0</v>
      </c>
      <c r="S61" s="330">
        <v>0</v>
      </c>
      <c r="T61" s="329">
        <f t="shared" si="2"/>
        <v>0</v>
      </c>
      <c r="U61" s="337">
        <f t="shared" si="3"/>
        <v>0</v>
      </c>
    </row>
    <row r="62" spans="1:23" x14ac:dyDescent="0.25">
      <c r="A62" s="78" t="s">
        <v>221</v>
      </c>
      <c r="B62" s="79" t="s">
        <v>143</v>
      </c>
      <c r="C62" s="336">
        <v>0</v>
      </c>
      <c r="D62" s="329">
        <v>0</v>
      </c>
      <c r="E62" s="330">
        <v>0</v>
      </c>
      <c r="F62" s="330">
        <v>0</v>
      </c>
      <c r="G62" s="330">
        <v>0</v>
      </c>
      <c r="H62" s="330">
        <v>0</v>
      </c>
      <c r="I62" s="330">
        <v>0</v>
      </c>
      <c r="J62" s="330">
        <v>0</v>
      </c>
      <c r="K62" s="330">
        <v>0</v>
      </c>
      <c r="L62" s="330">
        <v>0</v>
      </c>
      <c r="M62" s="330">
        <v>0</v>
      </c>
      <c r="N62" s="330">
        <v>0</v>
      </c>
      <c r="O62" s="330">
        <v>0</v>
      </c>
      <c r="P62" s="330">
        <v>0</v>
      </c>
      <c r="Q62" s="330">
        <v>0</v>
      </c>
      <c r="R62" s="330">
        <v>0</v>
      </c>
      <c r="S62" s="330">
        <v>0</v>
      </c>
      <c r="T62" s="329">
        <f t="shared" si="2"/>
        <v>0</v>
      </c>
      <c r="U62" s="337">
        <f t="shared" si="3"/>
        <v>0</v>
      </c>
    </row>
    <row r="63" spans="1:23" x14ac:dyDescent="0.25">
      <c r="A63" s="78" t="s">
        <v>222</v>
      </c>
      <c r="B63" s="79" t="s">
        <v>224</v>
      </c>
      <c r="C63" s="336">
        <v>0</v>
      </c>
      <c r="D63" s="329">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29">
        <f t="shared" si="2"/>
        <v>0</v>
      </c>
      <c r="U63" s="337">
        <f t="shared" si="3"/>
        <v>0</v>
      </c>
    </row>
    <row r="64" spans="1:23" ht="18.75" x14ac:dyDescent="0.25">
      <c r="A64" s="78" t="s">
        <v>223</v>
      </c>
      <c r="B64" s="77" t="s">
        <v>122</v>
      </c>
      <c r="C64" s="335">
        <v>0</v>
      </c>
      <c r="D64" s="329">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29">
        <f t="shared" si="2"/>
        <v>0</v>
      </c>
      <c r="U64" s="337">
        <f t="shared" si="3"/>
        <v>0</v>
      </c>
    </row>
    <row r="65" spans="1:20" x14ac:dyDescent="0.25">
      <c r="A65" s="74"/>
      <c r="B65" s="75"/>
      <c r="C65" s="75"/>
      <c r="D65" s="75"/>
      <c r="E65" s="75"/>
      <c r="F65" s="75"/>
      <c r="G65" s="75"/>
      <c r="H65" s="75"/>
      <c r="I65" s="75"/>
      <c r="J65" s="75"/>
      <c r="K65" s="75"/>
      <c r="L65" s="74"/>
      <c r="M65" s="74"/>
      <c r="N65" s="65"/>
      <c r="O65" s="65"/>
      <c r="P65" s="65"/>
      <c r="Q65" s="65"/>
      <c r="R65" s="65"/>
      <c r="S65" s="65"/>
      <c r="T65" s="65"/>
    </row>
    <row r="66" spans="1:20" ht="54" customHeight="1" x14ac:dyDescent="0.25">
      <c r="A66" s="65"/>
      <c r="B66" s="483"/>
      <c r="C66" s="483"/>
      <c r="D66" s="483"/>
      <c r="E66" s="483"/>
      <c r="F66" s="483"/>
      <c r="G66" s="483"/>
      <c r="H66" s="483"/>
      <c r="I66" s="483"/>
      <c r="J66" s="69"/>
      <c r="K66" s="69"/>
      <c r="L66" s="73"/>
      <c r="M66" s="73"/>
      <c r="N66" s="73"/>
      <c r="O66" s="73"/>
      <c r="P66" s="73"/>
      <c r="Q66" s="73"/>
      <c r="R66" s="73"/>
      <c r="S66" s="73"/>
      <c r="T66" s="73"/>
    </row>
    <row r="67" spans="1:20" x14ac:dyDescent="0.25">
      <c r="A67" s="65"/>
      <c r="B67" s="65"/>
      <c r="C67" s="65"/>
      <c r="D67" s="65"/>
      <c r="E67" s="65"/>
      <c r="F67" s="65"/>
      <c r="L67" s="65"/>
      <c r="M67" s="65"/>
      <c r="N67" s="65"/>
      <c r="O67" s="65"/>
      <c r="P67" s="65"/>
      <c r="Q67" s="65"/>
      <c r="R67" s="65"/>
      <c r="S67" s="65"/>
      <c r="T67" s="65"/>
    </row>
    <row r="68" spans="1:20" ht="50.25" customHeight="1" x14ac:dyDescent="0.25">
      <c r="A68" s="65"/>
      <c r="B68" s="484"/>
      <c r="C68" s="484"/>
      <c r="D68" s="484"/>
      <c r="E68" s="484"/>
      <c r="F68" s="484"/>
      <c r="G68" s="484"/>
      <c r="H68" s="484"/>
      <c r="I68" s="484"/>
      <c r="J68" s="70"/>
      <c r="K68" s="70"/>
      <c r="L68" s="65"/>
      <c r="M68" s="65"/>
      <c r="N68" s="65"/>
      <c r="O68" s="65"/>
      <c r="P68" s="65"/>
      <c r="Q68" s="65"/>
      <c r="R68" s="65"/>
      <c r="S68" s="65"/>
      <c r="T68" s="65"/>
    </row>
    <row r="69" spans="1:20" x14ac:dyDescent="0.25">
      <c r="A69" s="65"/>
      <c r="B69" s="65"/>
      <c r="C69" s="65"/>
      <c r="D69" s="65"/>
      <c r="E69" s="65"/>
      <c r="F69" s="65"/>
      <c r="L69" s="65"/>
      <c r="M69" s="65"/>
      <c r="N69" s="65"/>
      <c r="O69" s="65"/>
      <c r="P69" s="65"/>
      <c r="Q69" s="65"/>
      <c r="R69" s="65"/>
      <c r="S69" s="65"/>
      <c r="T69" s="65"/>
    </row>
    <row r="70" spans="1:20" ht="36.75" customHeight="1" x14ac:dyDescent="0.25">
      <c r="A70" s="65"/>
      <c r="B70" s="483"/>
      <c r="C70" s="483"/>
      <c r="D70" s="483"/>
      <c r="E70" s="483"/>
      <c r="F70" s="483"/>
      <c r="G70" s="483"/>
      <c r="H70" s="483"/>
      <c r="I70" s="483"/>
      <c r="J70" s="69"/>
      <c r="K70" s="69"/>
      <c r="L70" s="65"/>
      <c r="M70" s="65"/>
      <c r="N70" s="65"/>
      <c r="O70" s="65"/>
      <c r="P70" s="65"/>
      <c r="Q70" s="65"/>
      <c r="R70" s="65"/>
      <c r="S70" s="65"/>
      <c r="T70" s="65"/>
    </row>
    <row r="71" spans="1:20" x14ac:dyDescent="0.25">
      <c r="A71" s="65"/>
      <c r="B71" s="72"/>
      <c r="C71" s="72"/>
      <c r="D71" s="72"/>
      <c r="E71" s="72"/>
      <c r="F71" s="72"/>
      <c r="L71" s="65"/>
      <c r="M71" s="65"/>
      <c r="N71" s="71"/>
      <c r="O71" s="65"/>
      <c r="P71" s="65"/>
      <c r="Q71" s="65"/>
      <c r="R71" s="65"/>
      <c r="S71" s="65"/>
      <c r="T71" s="65"/>
    </row>
    <row r="72" spans="1:20" ht="51" customHeight="1" x14ac:dyDescent="0.25">
      <c r="A72" s="65"/>
      <c r="B72" s="483"/>
      <c r="C72" s="483"/>
      <c r="D72" s="483"/>
      <c r="E72" s="483"/>
      <c r="F72" s="483"/>
      <c r="G72" s="483"/>
      <c r="H72" s="483"/>
      <c r="I72" s="483"/>
      <c r="J72" s="69"/>
      <c r="K72" s="69"/>
      <c r="L72" s="65"/>
      <c r="M72" s="65"/>
      <c r="N72" s="71"/>
      <c r="O72" s="65"/>
      <c r="P72" s="65"/>
      <c r="Q72" s="65"/>
      <c r="R72" s="65"/>
      <c r="S72" s="65"/>
      <c r="T72" s="65"/>
    </row>
    <row r="73" spans="1:20" ht="32.25" customHeight="1" x14ac:dyDescent="0.25">
      <c r="A73" s="65"/>
      <c r="B73" s="484"/>
      <c r="C73" s="484"/>
      <c r="D73" s="484"/>
      <c r="E73" s="484"/>
      <c r="F73" s="484"/>
      <c r="G73" s="484"/>
      <c r="H73" s="484"/>
      <c r="I73" s="484"/>
      <c r="J73" s="70"/>
      <c r="K73" s="70"/>
      <c r="L73" s="65"/>
      <c r="M73" s="65"/>
      <c r="N73" s="65"/>
      <c r="O73" s="65"/>
      <c r="P73" s="65"/>
      <c r="Q73" s="65"/>
      <c r="R73" s="65"/>
      <c r="S73" s="65"/>
      <c r="T73" s="65"/>
    </row>
    <row r="74" spans="1:20" ht="51.75" customHeight="1" x14ac:dyDescent="0.25">
      <c r="A74" s="65"/>
      <c r="B74" s="483"/>
      <c r="C74" s="483"/>
      <c r="D74" s="483"/>
      <c r="E74" s="483"/>
      <c r="F74" s="483"/>
      <c r="G74" s="483"/>
      <c r="H74" s="483"/>
      <c r="I74" s="483"/>
      <c r="J74" s="69"/>
      <c r="K74" s="69"/>
      <c r="L74" s="65"/>
      <c r="M74" s="65"/>
      <c r="N74" s="65"/>
      <c r="O74" s="65"/>
      <c r="P74" s="65"/>
      <c r="Q74" s="65"/>
      <c r="R74" s="65"/>
      <c r="S74" s="65"/>
      <c r="T74" s="65"/>
    </row>
    <row r="75" spans="1:20" ht="21.75" customHeight="1" x14ac:dyDescent="0.25">
      <c r="A75" s="65"/>
      <c r="B75" s="481"/>
      <c r="C75" s="481"/>
      <c r="D75" s="481"/>
      <c r="E75" s="481"/>
      <c r="F75" s="481"/>
      <c r="G75" s="481"/>
      <c r="H75" s="481"/>
      <c r="I75" s="481"/>
      <c r="J75" s="68"/>
      <c r="K75" s="68"/>
      <c r="L75" s="67"/>
      <c r="M75" s="67"/>
      <c r="N75" s="65"/>
      <c r="O75" s="65"/>
      <c r="P75" s="65"/>
      <c r="Q75" s="65"/>
      <c r="R75" s="65"/>
      <c r="S75" s="65"/>
      <c r="T75" s="65"/>
    </row>
    <row r="76" spans="1:20" ht="23.25" customHeight="1" x14ac:dyDescent="0.25">
      <c r="A76" s="65"/>
      <c r="B76" s="67"/>
      <c r="C76" s="67"/>
      <c r="D76" s="67"/>
      <c r="E76" s="67"/>
      <c r="F76" s="67"/>
      <c r="L76" s="65"/>
      <c r="M76" s="65"/>
      <c r="N76" s="65"/>
      <c r="O76" s="65"/>
      <c r="P76" s="65"/>
      <c r="Q76" s="65"/>
      <c r="R76" s="65"/>
      <c r="S76" s="65"/>
      <c r="T76" s="65"/>
    </row>
    <row r="77" spans="1:20" ht="18.75" customHeight="1" x14ac:dyDescent="0.25">
      <c r="A77" s="65"/>
      <c r="B77" s="482"/>
      <c r="C77" s="482"/>
      <c r="D77" s="482"/>
      <c r="E77" s="482"/>
      <c r="F77" s="482"/>
      <c r="G77" s="482"/>
      <c r="H77" s="482"/>
      <c r="I77" s="482"/>
      <c r="J77" s="66"/>
      <c r="K77" s="66"/>
      <c r="L77" s="65"/>
      <c r="M77" s="65"/>
      <c r="N77" s="65"/>
      <c r="O77" s="65"/>
      <c r="P77" s="65"/>
      <c r="Q77" s="65"/>
      <c r="R77" s="65"/>
      <c r="S77" s="65"/>
      <c r="T77" s="65"/>
    </row>
    <row r="78" spans="1:20" x14ac:dyDescent="0.25">
      <c r="A78" s="65"/>
      <c r="B78" s="65"/>
      <c r="C78" s="65"/>
      <c r="D78" s="65"/>
      <c r="E78" s="65"/>
      <c r="F78" s="65"/>
      <c r="L78" s="65"/>
      <c r="M78" s="65"/>
      <c r="N78" s="65"/>
      <c r="O78" s="65"/>
      <c r="P78" s="65"/>
      <c r="Q78" s="65"/>
      <c r="R78" s="65"/>
      <c r="S78" s="65"/>
      <c r="T78" s="65"/>
    </row>
    <row r="79" spans="1:20" x14ac:dyDescent="0.25">
      <c r="A79" s="65"/>
      <c r="B79" s="65"/>
      <c r="C79" s="65"/>
      <c r="D79" s="65"/>
      <c r="E79" s="65"/>
      <c r="F79" s="65"/>
      <c r="L79" s="65"/>
      <c r="M79" s="65"/>
      <c r="N79" s="65"/>
      <c r="O79" s="65"/>
      <c r="P79" s="65"/>
      <c r="Q79" s="65"/>
      <c r="R79" s="65"/>
      <c r="S79" s="65"/>
      <c r="T79" s="65"/>
    </row>
    <row r="80" spans="1:20"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V10" zoomScale="85" zoomScaleSheetLayoutView="85" workbookViewId="0">
      <selection activeCell="AD26" sqref="A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8.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66</v>
      </c>
    </row>
    <row r="2" spans="1:48" ht="18.75" x14ac:dyDescent="0.3">
      <c r="AV2" s="14" t="s">
        <v>8</v>
      </c>
    </row>
    <row r="3" spans="1:48" ht="18.75" x14ac:dyDescent="0.3">
      <c r="AV3" s="14" t="s">
        <v>65</v>
      </c>
    </row>
    <row r="4" spans="1:48" ht="18.75" x14ac:dyDescent="0.3">
      <c r="AV4" s="14"/>
    </row>
    <row r="5" spans="1:48" ht="18.75" customHeight="1" x14ac:dyDescent="0.25">
      <c r="A5" s="390" t="str">
        <f>'1. паспорт местоположение'!A5:C5</f>
        <v>Год раскрытия информации: 2022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4"/>
    </row>
    <row r="7" spans="1:48" ht="18.75" x14ac:dyDescent="0.25">
      <c r="A7" s="394" t="s">
        <v>7</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91" t="s">
        <v>6</v>
      </c>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c r="AU10" s="391"/>
      <c r="AV10" s="391"/>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97" t="str">
        <f>'1. паспорт местоположение'!A12:C12</f>
        <v>J_18-1157</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91" t="s">
        <v>5</v>
      </c>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1"/>
      <c r="AC13" s="391"/>
      <c r="AD13" s="391"/>
      <c r="AE13" s="391"/>
      <c r="AF13" s="391"/>
      <c r="AG13" s="391"/>
      <c r="AH13" s="391"/>
      <c r="AI13" s="391"/>
      <c r="AJ13" s="391"/>
      <c r="AK13" s="391"/>
      <c r="AL13" s="391"/>
      <c r="AM13" s="391"/>
      <c r="AN13" s="391"/>
      <c r="AO13" s="391"/>
      <c r="AP13" s="391"/>
      <c r="AQ13" s="391"/>
      <c r="AR13" s="391"/>
      <c r="AS13" s="391"/>
      <c r="AT13" s="391"/>
      <c r="AU13" s="391"/>
      <c r="AV13" s="391"/>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x14ac:dyDescent="0.25">
      <c r="A15" s="397" t="str">
        <f>'1. паспорт местоположение'!A15</f>
        <v>Реконструкция ТП 66 (инв. № 5351233), строительство ЛЭП 0,4 кВ от ТП 66, с установкой СП Нового по ул. Садовой в г. Черняховске</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91" t="s">
        <v>4</v>
      </c>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1"/>
      <c r="AR16" s="391"/>
      <c r="AS16" s="391"/>
      <c r="AT16" s="391"/>
      <c r="AU16" s="391"/>
      <c r="AV16" s="391"/>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3"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23" customFormat="1" x14ac:dyDescent="0.25">
      <c r="A21" s="485" t="s">
        <v>508</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3" customFormat="1" ht="58.5" customHeight="1" x14ac:dyDescent="0.25">
      <c r="A22" s="486" t="s">
        <v>50</v>
      </c>
      <c r="B22" s="489" t="s">
        <v>22</v>
      </c>
      <c r="C22" s="486" t="s">
        <v>49</v>
      </c>
      <c r="D22" s="486" t="s">
        <v>48</v>
      </c>
      <c r="E22" s="492" t="s">
        <v>519</v>
      </c>
      <c r="F22" s="493"/>
      <c r="G22" s="493"/>
      <c r="H22" s="493"/>
      <c r="I22" s="493"/>
      <c r="J22" s="493"/>
      <c r="K22" s="493"/>
      <c r="L22" s="494"/>
      <c r="M22" s="486" t="s">
        <v>47</v>
      </c>
      <c r="N22" s="486" t="s">
        <v>46</v>
      </c>
      <c r="O22" s="486" t="s">
        <v>45</v>
      </c>
      <c r="P22" s="495" t="s">
        <v>254</v>
      </c>
      <c r="Q22" s="495" t="s">
        <v>44</v>
      </c>
      <c r="R22" s="495" t="s">
        <v>43</v>
      </c>
      <c r="S22" s="495" t="s">
        <v>42</v>
      </c>
      <c r="T22" s="495"/>
      <c r="U22" s="496" t="s">
        <v>41</v>
      </c>
      <c r="V22" s="496" t="s">
        <v>40</v>
      </c>
      <c r="W22" s="495" t="s">
        <v>39</v>
      </c>
      <c r="X22" s="495" t="s">
        <v>38</v>
      </c>
      <c r="Y22" s="495" t="s">
        <v>37</v>
      </c>
      <c r="Z22" s="509"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499" t="s">
        <v>23</v>
      </c>
    </row>
    <row r="23" spans="1:48" s="23" customFormat="1" ht="64.5" customHeight="1" x14ac:dyDescent="0.25">
      <c r="A23" s="487"/>
      <c r="B23" s="490"/>
      <c r="C23" s="487"/>
      <c r="D23" s="487"/>
      <c r="E23" s="501" t="s">
        <v>21</v>
      </c>
      <c r="F23" s="503" t="s">
        <v>126</v>
      </c>
      <c r="G23" s="503" t="s">
        <v>125</v>
      </c>
      <c r="H23" s="503" t="s">
        <v>124</v>
      </c>
      <c r="I23" s="507" t="s">
        <v>429</v>
      </c>
      <c r="J23" s="507" t="s">
        <v>430</v>
      </c>
      <c r="K23" s="507" t="s">
        <v>431</v>
      </c>
      <c r="L23" s="503" t="s">
        <v>74</v>
      </c>
      <c r="M23" s="487"/>
      <c r="N23" s="487"/>
      <c r="O23" s="487"/>
      <c r="P23" s="495"/>
      <c r="Q23" s="495"/>
      <c r="R23" s="495"/>
      <c r="S23" s="505" t="s">
        <v>2</v>
      </c>
      <c r="T23" s="505" t="s">
        <v>9</v>
      </c>
      <c r="U23" s="496"/>
      <c r="V23" s="496"/>
      <c r="W23" s="495"/>
      <c r="X23" s="495"/>
      <c r="Y23" s="495"/>
      <c r="Z23" s="495"/>
      <c r="AA23" s="495"/>
      <c r="AB23" s="495"/>
      <c r="AC23" s="495"/>
      <c r="AD23" s="495"/>
      <c r="AE23" s="495"/>
      <c r="AF23" s="495" t="s">
        <v>20</v>
      </c>
      <c r="AG23" s="495"/>
      <c r="AH23" s="495" t="s">
        <v>19</v>
      </c>
      <c r="AI23" s="495"/>
      <c r="AJ23" s="486" t="s">
        <v>18</v>
      </c>
      <c r="AK23" s="486" t="s">
        <v>17</v>
      </c>
      <c r="AL23" s="486" t="s">
        <v>16</v>
      </c>
      <c r="AM23" s="486" t="s">
        <v>15</v>
      </c>
      <c r="AN23" s="486" t="s">
        <v>14</v>
      </c>
      <c r="AO23" s="486" t="s">
        <v>13</v>
      </c>
      <c r="AP23" s="486" t="s">
        <v>12</v>
      </c>
      <c r="AQ23" s="497" t="s">
        <v>9</v>
      </c>
      <c r="AR23" s="495"/>
      <c r="AS23" s="495"/>
      <c r="AT23" s="495"/>
      <c r="AU23" s="495"/>
      <c r="AV23" s="500"/>
    </row>
    <row r="24" spans="1:48" s="23" customFormat="1" ht="96.75" customHeight="1" x14ac:dyDescent="0.25">
      <c r="A24" s="488"/>
      <c r="B24" s="491"/>
      <c r="C24" s="488"/>
      <c r="D24" s="488"/>
      <c r="E24" s="502"/>
      <c r="F24" s="504"/>
      <c r="G24" s="504"/>
      <c r="H24" s="504"/>
      <c r="I24" s="508"/>
      <c r="J24" s="508"/>
      <c r="K24" s="508"/>
      <c r="L24" s="504"/>
      <c r="M24" s="488"/>
      <c r="N24" s="488"/>
      <c r="O24" s="488"/>
      <c r="P24" s="495"/>
      <c r="Q24" s="495"/>
      <c r="R24" s="495"/>
      <c r="S24" s="506"/>
      <c r="T24" s="506"/>
      <c r="U24" s="496"/>
      <c r="V24" s="496"/>
      <c r="W24" s="495"/>
      <c r="X24" s="495"/>
      <c r="Y24" s="495"/>
      <c r="Z24" s="495"/>
      <c r="AA24" s="495"/>
      <c r="AB24" s="495"/>
      <c r="AC24" s="495"/>
      <c r="AD24" s="495"/>
      <c r="AE24" s="495"/>
      <c r="AF24" s="156" t="s">
        <v>11</v>
      </c>
      <c r="AG24" s="156" t="s">
        <v>10</v>
      </c>
      <c r="AH24" s="157" t="s">
        <v>2</v>
      </c>
      <c r="AI24" s="157" t="s">
        <v>9</v>
      </c>
      <c r="AJ24" s="488"/>
      <c r="AK24" s="488"/>
      <c r="AL24" s="488"/>
      <c r="AM24" s="488"/>
      <c r="AN24" s="488"/>
      <c r="AO24" s="488"/>
      <c r="AP24" s="488"/>
      <c r="AQ24" s="498"/>
      <c r="AR24" s="495"/>
      <c r="AS24" s="495"/>
      <c r="AT24" s="495"/>
      <c r="AU24" s="495"/>
      <c r="AV24" s="500"/>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33.75" x14ac:dyDescent="0.2">
      <c r="A26" s="21">
        <v>1</v>
      </c>
      <c r="B26" s="374" t="s">
        <v>529</v>
      </c>
      <c r="C26" s="20" t="s">
        <v>62</v>
      </c>
      <c r="D26" s="21" t="s">
        <v>641</v>
      </c>
      <c r="E26" s="21"/>
      <c r="F26" s="21"/>
      <c r="G26" s="352">
        <f>'3.1. паспорт Техсостояние ПС'!O25</f>
        <v>0.63</v>
      </c>
      <c r="H26" s="21"/>
      <c r="I26" s="21" t="str">
        <f>'3.2 паспорт Техсостояние ЛЭП'!R25</f>
        <v>-</v>
      </c>
      <c r="J26" s="21"/>
      <c r="K26" s="352"/>
      <c r="L26" s="21"/>
      <c r="M26" s="374" t="s">
        <v>721</v>
      </c>
      <c r="N26" s="374" t="s">
        <v>683</v>
      </c>
      <c r="O26" s="374" t="s">
        <v>684</v>
      </c>
      <c r="P26" s="375">
        <v>197.79</v>
      </c>
      <c r="Q26" s="374" t="s">
        <v>685</v>
      </c>
      <c r="R26" s="375">
        <v>197.79</v>
      </c>
      <c r="S26" s="374" t="s">
        <v>686</v>
      </c>
      <c r="T26" s="374" t="s">
        <v>687</v>
      </c>
      <c r="U26" s="376" t="s">
        <v>61</v>
      </c>
      <c r="V26" s="376" t="s">
        <v>61</v>
      </c>
      <c r="W26" s="374" t="s">
        <v>688</v>
      </c>
      <c r="X26" s="375">
        <v>190</v>
      </c>
      <c r="Y26" s="374"/>
      <c r="Z26" s="377"/>
      <c r="AA26" s="375"/>
      <c r="AB26" s="375">
        <v>190</v>
      </c>
      <c r="AC26" s="375" t="s">
        <v>688</v>
      </c>
      <c r="AD26" s="375">
        <v>95.534999999999997</v>
      </c>
      <c r="AE26" s="375">
        <v>190</v>
      </c>
      <c r="AF26" s="376" t="s">
        <v>689</v>
      </c>
      <c r="AG26" s="374" t="s">
        <v>690</v>
      </c>
      <c r="AH26" s="377">
        <v>43530</v>
      </c>
      <c r="AI26" s="377">
        <v>43530</v>
      </c>
      <c r="AJ26" s="377">
        <v>43556</v>
      </c>
      <c r="AK26" s="377">
        <v>43584</v>
      </c>
      <c r="AL26" s="374"/>
      <c r="AM26" s="374"/>
      <c r="AN26" s="377"/>
      <c r="AO26" s="374"/>
      <c r="AP26" s="377" t="s">
        <v>691</v>
      </c>
      <c r="AQ26" s="377" t="s">
        <v>691</v>
      </c>
      <c r="AR26" s="377" t="s">
        <v>692</v>
      </c>
      <c r="AS26" s="377" t="s">
        <v>692</v>
      </c>
      <c r="AT26" s="377" t="s">
        <v>693</v>
      </c>
      <c r="AU26" s="374"/>
      <c r="AV26" s="374" t="s">
        <v>722</v>
      </c>
    </row>
    <row r="27" spans="1:48" s="19" customFormat="1" ht="22.5" x14ac:dyDescent="0.2">
      <c r="A27" s="21"/>
      <c r="B27" s="351"/>
      <c r="C27" s="20"/>
      <c r="D27" s="21"/>
      <c r="E27" s="21"/>
      <c r="F27" s="21"/>
      <c r="G27" s="21"/>
      <c r="H27" s="21"/>
      <c r="I27" s="21"/>
      <c r="J27" s="21"/>
      <c r="K27" s="352"/>
      <c r="L27" s="21"/>
      <c r="M27" s="374"/>
      <c r="N27" s="374"/>
      <c r="O27" s="374"/>
      <c r="P27" s="375"/>
      <c r="Q27" s="374"/>
      <c r="R27" s="375"/>
      <c r="S27" s="374"/>
      <c r="T27" s="374"/>
      <c r="U27" s="376"/>
      <c r="V27" s="376"/>
      <c r="W27" s="374" t="s">
        <v>694</v>
      </c>
      <c r="X27" s="375">
        <v>197.79</v>
      </c>
      <c r="Y27" s="374"/>
      <c r="Z27" s="377"/>
      <c r="AA27" s="375"/>
      <c r="AB27" s="375"/>
      <c r="AC27" s="375"/>
      <c r="AD27" s="375"/>
      <c r="AE27" s="375"/>
      <c r="AF27" s="376"/>
      <c r="AG27" s="374"/>
      <c r="AH27" s="377"/>
      <c r="AI27" s="377"/>
      <c r="AJ27" s="377"/>
      <c r="AK27" s="377"/>
      <c r="AL27" s="374"/>
      <c r="AM27" s="374"/>
      <c r="AN27" s="377"/>
      <c r="AO27" s="374"/>
      <c r="AP27" s="377"/>
      <c r="AQ27" s="377"/>
      <c r="AR27" s="377"/>
      <c r="AS27" s="377"/>
      <c r="AT27" s="377"/>
      <c r="AU27" s="374"/>
      <c r="AV27" s="374"/>
    </row>
    <row r="28" spans="1:48" s="19" customFormat="1" ht="33.75" x14ac:dyDescent="0.2">
      <c r="A28" s="21">
        <v>2</v>
      </c>
      <c r="B28" s="374" t="s">
        <v>529</v>
      </c>
      <c r="C28" s="20" t="s">
        <v>62</v>
      </c>
      <c r="D28" s="21" t="str">
        <f>D26</f>
        <v>нд</v>
      </c>
      <c r="E28" s="21"/>
      <c r="F28" s="21"/>
      <c r="G28" s="21">
        <f>G26</f>
        <v>0.63</v>
      </c>
      <c r="H28" s="21"/>
      <c r="I28" s="21"/>
      <c r="J28" s="21"/>
      <c r="K28" s="352"/>
      <c r="L28" s="21"/>
      <c r="M28" s="374" t="s">
        <v>682</v>
      </c>
      <c r="N28" s="374" t="s">
        <v>713</v>
      </c>
      <c r="O28" s="374" t="s">
        <v>529</v>
      </c>
      <c r="P28" s="375">
        <v>12721.64</v>
      </c>
      <c r="Q28" s="374" t="s">
        <v>685</v>
      </c>
      <c r="R28" s="375">
        <v>12721.64</v>
      </c>
      <c r="S28" s="374" t="s">
        <v>686</v>
      </c>
      <c r="T28" s="374" t="s">
        <v>714</v>
      </c>
      <c r="U28" s="376" t="s">
        <v>60</v>
      </c>
      <c r="V28" s="376" t="s">
        <v>60</v>
      </c>
      <c r="W28" s="374" t="s">
        <v>715</v>
      </c>
      <c r="X28" s="375">
        <v>12720</v>
      </c>
      <c r="Y28" s="374"/>
      <c r="Z28" s="351">
        <v>1</v>
      </c>
      <c r="AA28" s="375">
        <v>12720</v>
      </c>
      <c r="AB28" s="375">
        <v>12720</v>
      </c>
      <c r="AC28" s="375" t="s">
        <v>715</v>
      </c>
      <c r="AD28" s="375">
        <v>1389.5884000000001</v>
      </c>
      <c r="AE28" s="375">
        <v>12720</v>
      </c>
      <c r="AF28" s="376" t="s">
        <v>716</v>
      </c>
      <c r="AG28" s="374" t="s">
        <v>690</v>
      </c>
      <c r="AH28" s="377">
        <v>43927</v>
      </c>
      <c r="AI28" s="377">
        <v>43927</v>
      </c>
      <c r="AJ28" s="377">
        <v>43943</v>
      </c>
      <c r="AK28" s="377">
        <v>43951</v>
      </c>
      <c r="AL28" s="374"/>
      <c r="AM28" s="374"/>
      <c r="AN28" s="377"/>
      <c r="AO28" s="374"/>
      <c r="AP28" s="377" t="s">
        <v>717</v>
      </c>
      <c r="AQ28" s="377" t="s">
        <v>717</v>
      </c>
      <c r="AR28" s="377" t="s">
        <v>717</v>
      </c>
      <c r="AS28" s="377" t="s">
        <v>717</v>
      </c>
      <c r="AT28" s="377" t="s">
        <v>718</v>
      </c>
      <c r="AU28" s="374"/>
      <c r="AV28" s="374"/>
    </row>
    <row r="29" spans="1:48" s="19" customFormat="1" ht="22.5" x14ac:dyDescent="0.2">
      <c r="A29" s="21"/>
      <c r="B29" s="351"/>
      <c r="C29" s="20"/>
      <c r="D29" s="21"/>
      <c r="E29" s="21"/>
      <c r="F29" s="21"/>
      <c r="G29" s="21"/>
      <c r="H29" s="21"/>
      <c r="I29" s="21"/>
      <c r="J29" s="21"/>
      <c r="K29" s="352"/>
      <c r="L29" s="21"/>
      <c r="M29" s="374"/>
      <c r="N29" s="374"/>
      <c r="O29" s="374"/>
      <c r="P29" s="375"/>
      <c r="Q29" s="374"/>
      <c r="R29" s="375"/>
      <c r="S29" s="374"/>
      <c r="T29" s="374"/>
      <c r="U29" s="376"/>
      <c r="V29" s="376"/>
      <c r="W29" s="374" t="s">
        <v>719</v>
      </c>
      <c r="X29" s="375">
        <v>12720.09</v>
      </c>
      <c r="Y29" s="374"/>
      <c r="Z29" s="377"/>
      <c r="AA29" s="375">
        <v>12720.09</v>
      </c>
      <c r="AB29" s="375"/>
      <c r="AC29" s="375"/>
      <c r="AD29" s="375"/>
      <c r="AE29" s="375"/>
      <c r="AF29" s="376"/>
      <c r="AG29" s="374"/>
      <c r="AH29" s="377"/>
      <c r="AI29" s="377"/>
      <c r="AJ29" s="377"/>
      <c r="AK29" s="377"/>
      <c r="AL29" s="374"/>
      <c r="AM29" s="374"/>
      <c r="AN29" s="377"/>
      <c r="AO29" s="374"/>
      <c r="AP29" s="377"/>
      <c r="AQ29" s="377"/>
      <c r="AR29" s="377"/>
      <c r="AS29" s="377"/>
      <c r="AT29" s="377"/>
      <c r="AU29" s="374"/>
      <c r="AV29" s="374"/>
    </row>
    <row r="30" spans="1:48" s="19" customFormat="1" ht="45" x14ac:dyDescent="0.2">
      <c r="A30" s="21"/>
      <c r="B30" s="351"/>
      <c r="C30" s="20"/>
      <c r="D30" s="21"/>
      <c r="E30" s="21"/>
      <c r="F30" s="21"/>
      <c r="G30" s="21"/>
      <c r="H30" s="21"/>
      <c r="I30" s="21"/>
      <c r="J30" s="21"/>
      <c r="K30" s="352"/>
      <c r="L30" s="21"/>
      <c r="M30" s="374"/>
      <c r="N30" s="374"/>
      <c r="O30" s="374"/>
      <c r="P30" s="375"/>
      <c r="Q30" s="374"/>
      <c r="R30" s="375"/>
      <c r="S30" s="374"/>
      <c r="T30" s="374"/>
      <c r="U30" s="376"/>
      <c r="V30" s="376"/>
      <c r="W30" s="374" t="s">
        <v>720</v>
      </c>
      <c r="X30" s="375">
        <v>12721.64</v>
      </c>
      <c r="Y30" s="374"/>
      <c r="Z30" s="377"/>
      <c r="AA30" s="375">
        <v>12721.64</v>
      </c>
      <c r="AB30" s="375"/>
      <c r="AC30" s="375"/>
      <c r="AD30" s="375"/>
      <c r="AE30" s="375"/>
      <c r="AF30" s="376"/>
      <c r="AG30" s="374"/>
      <c r="AH30" s="377"/>
      <c r="AI30" s="377"/>
      <c r="AJ30" s="377"/>
      <c r="AK30" s="377"/>
      <c r="AL30" s="374"/>
      <c r="AM30" s="374"/>
      <c r="AN30" s="377"/>
      <c r="AO30" s="374"/>
      <c r="AP30" s="377"/>
      <c r="AQ30" s="377"/>
      <c r="AR30" s="377"/>
      <c r="AS30" s="377"/>
      <c r="AT30" s="377"/>
      <c r="AU30" s="374"/>
      <c r="AV30" s="374"/>
    </row>
    <row r="31" spans="1:48" s="19" customFormat="1" ht="11.25" x14ac:dyDescent="0.2">
      <c r="A31" s="21"/>
      <c r="B31" s="351"/>
      <c r="C31" s="20"/>
      <c r="D31" s="21"/>
      <c r="E31" s="21"/>
      <c r="F31" s="21"/>
      <c r="G31" s="21"/>
      <c r="H31" s="21"/>
      <c r="I31" s="21"/>
      <c r="J31" s="21"/>
      <c r="K31" s="352"/>
      <c r="L31" s="21"/>
      <c r="M31" s="374"/>
      <c r="N31" s="374"/>
      <c r="O31" s="374"/>
      <c r="P31" s="375"/>
      <c r="Q31" s="374"/>
      <c r="R31" s="375"/>
      <c r="S31" s="374"/>
      <c r="T31" s="374"/>
      <c r="U31" s="376"/>
      <c r="V31" s="376"/>
      <c r="W31" s="374"/>
      <c r="X31" s="375"/>
      <c r="Y31" s="374"/>
      <c r="Z31" s="377"/>
      <c r="AA31" s="375"/>
      <c r="AB31" s="375"/>
      <c r="AC31" s="375"/>
      <c r="AD31" s="375">
        <f>SUM(AD26:AD30)</f>
        <v>1485.1234000000002</v>
      </c>
      <c r="AE31" s="375"/>
      <c r="AF31" s="376"/>
      <c r="AG31" s="374"/>
      <c r="AH31" s="377"/>
      <c r="AI31" s="377"/>
      <c r="AJ31" s="377"/>
      <c r="AK31" s="377"/>
      <c r="AL31" s="374"/>
      <c r="AM31" s="374"/>
      <c r="AN31" s="377"/>
      <c r="AO31" s="374"/>
      <c r="AP31" s="377"/>
      <c r="AQ31" s="377"/>
      <c r="AR31" s="377"/>
      <c r="AS31" s="377"/>
      <c r="AT31" s="377"/>
      <c r="AU31" s="374"/>
      <c r="AV31" s="37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 zoomScale="90" zoomScaleNormal="90" zoomScaleSheetLayoutView="90" workbookViewId="0">
      <selection activeCell="B29" sqref="B29"/>
    </sheetView>
  </sheetViews>
  <sheetFormatPr defaultRowHeight="15.75" x14ac:dyDescent="0.25"/>
  <cols>
    <col min="1" max="2" width="66.140625" style="128" customWidth="1"/>
    <col min="3" max="3" width="9.140625" style="129" hidden="1" customWidth="1"/>
    <col min="4" max="5" width="8.85546875" style="129"/>
    <col min="6" max="6" width="11.85546875" style="129" bestFit="1" customWidth="1"/>
    <col min="7"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0" t="s">
        <v>66</v>
      </c>
    </row>
    <row r="2" spans="1:8" ht="18.75" x14ac:dyDescent="0.3">
      <c r="B2" s="14" t="s">
        <v>8</v>
      </c>
    </row>
    <row r="3" spans="1:8" ht="18.75" x14ac:dyDescent="0.3">
      <c r="B3" s="14" t="s">
        <v>527</v>
      </c>
    </row>
    <row r="4" spans="1:8" x14ac:dyDescent="0.25">
      <c r="B4" s="45"/>
    </row>
    <row r="5" spans="1:8" ht="18.75" x14ac:dyDescent="0.3">
      <c r="A5" s="510" t="str">
        <f>'1. паспорт местоположение'!A5:C5</f>
        <v>Год раскрытия информации: 2022 год</v>
      </c>
      <c r="B5" s="510"/>
      <c r="C5" s="89"/>
      <c r="D5" s="89"/>
      <c r="E5" s="89"/>
      <c r="F5" s="89"/>
      <c r="G5" s="89"/>
      <c r="H5" s="89"/>
    </row>
    <row r="6" spans="1:8" ht="18.75" x14ac:dyDescent="0.3">
      <c r="A6" s="316"/>
      <c r="B6" s="316"/>
      <c r="C6" s="316"/>
      <c r="D6" s="316"/>
      <c r="E6" s="316"/>
      <c r="F6" s="316"/>
      <c r="G6" s="316"/>
      <c r="H6" s="316"/>
    </row>
    <row r="7" spans="1:8" ht="18.75" x14ac:dyDescent="0.25">
      <c r="A7" s="394" t="s">
        <v>7</v>
      </c>
      <c r="B7" s="394"/>
      <c r="C7" s="162"/>
      <c r="D7" s="162"/>
      <c r="E7" s="162"/>
      <c r="F7" s="162"/>
      <c r="G7" s="162"/>
      <c r="H7" s="162"/>
    </row>
    <row r="8" spans="1:8" ht="18.75" x14ac:dyDescent="0.25">
      <c r="A8" s="162"/>
      <c r="B8" s="162"/>
      <c r="C8" s="162"/>
      <c r="D8" s="162"/>
      <c r="E8" s="162"/>
      <c r="F8" s="162"/>
      <c r="G8" s="162"/>
      <c r="H8" s="162"/>
    </row>
    <row r="9" spans="1:8" x14ac:dyDescent="0.25">
      <c r="A9" s="397" t="str">
        <f>'1. паспорт местоположение'!A9:C9</f>
        <v>Акционерное общество "Янтарьэнерго" ДЗО  ПАО "Россети"</v>
      </c>
      <c r="B9" s="397"/>
      <c r="C9" s="176"/>
      <c r="D9" s="176"/>
      <c r="E9" s="176"/>
      <c r="F9" s="176"/>
      <c r="G9" s="176"/>
      <c r="H9" s="176"/>
    </row>
    <row r="10" spans="1:8" x14ac:dyDescent="0.25">
      <c r="A10" s="391" t="s">
        <v>6</v>
      </c>
      <c r="B10" s="391"/>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97" t="str">
        <f>'1. паспорт местоположение'!A12:C12</f>
        <v>J_18-1157</v>
      </c>
      <c r="B12" s="397"/>
      <c r="C12" s="176"/>
      <c r="D12" s="176"/>
      <c r="E12" s="176"/>
      <c r="F12" s="176"/>
      <c r="G12" s="176"/>
      <c r="H12" s="176"/>
    </row>
    <row r="13" spans="1:8" x14ac:dyDescent="0.25">
      <c r="A13" s="391" t="s">
        <v>5</v>
      </c>
      <c r="B13" s="391"/>
      <c r="C13" s="164"/>
      <c r="D13" s="164"/>
      <c r="E13" s="164"/>
      <c r="F13" s="164"/>
      <c r="G13" s="164"/>
      <c r="H13" s="164"/>
    </row>
    <row r="14" spans="1:8" ht="18.75" x14ac:dyDescent="0.25">
      <c r="A14" s="10"/>
      <c r="B14" s="10"/>
      <c r="C14" s="10"/>
      <c r="D14" s="10"/>
      <c r="E14" s="10"/>
      <c r="F14" s="10"/>
      <c r="G14" s="10"/>
      <c r="H14" s="10"/>
    </row>
    <row r="15" spans="1:8" x14ac:dyDescent="0.25">
      <c r="A15" s="511" t="str">
        <f>'1. паспорт местоположение'!A15:C15</f>
        <v>Реконструкция ТП 66 (инв. № 5351233), строительство ЛЭП 0,4 кВ от ТП 66, с установкой СП Нового по ул. Садовой в г. Черняховске</v>
      </c>
      <c r="B15" s="397"/>
      <c r="C15" s="176"/>
      <c r="D15" s="176"/>
      <c r="E15" s="176"/>
      <c r="F15" s="176"/>
      <c r="G15" s="176"/>
      <c r="H15" s="176"/>
    </row>
    <row r="16" spans="1:8" x14ac:dyDescent="0.25">
      <c r="A16" s="391" t="s">
        <v>4</v>
      </c>
      <c r="B16" s="391"/>
      <c r="C16" s="164"/>
      <c r="D16" s="164"/>
      <c r="E16" s="164"/>
      <c r="F16" s="164"/>
      <c r="G16" s="164"/>
      <c r="H16" s="164"/>
    </row>
    <row r="17" spans="1:2" x14ac:dyDescent="0.25">
      <c r="B17" s="130"/>
    </row>
    <row r="18" spans="1:2" x14ac:dyDescent="0.25">
      <c r="A18" s="512" t="s">
        <v>509</v>
      </c>
      <c r="B18" s="513"/>
    </row>
    <row r="19" spans="1:2" x14ac:dyDescent="0.25">
      <c r="B19" s="45"/>
    </row>
    <row r="20" spans="1:2" ht="16.5" thickBot="1" x14ac:dyDescent="0.3">
      <c r="B20" s="131"/>
    </row>
    <row r="21" spans="1:2" ht="29.45" customHeight="1" thickBot="1" x14ac:dyDescent="0.3">
      <c r="A21" s="132" t="s">
        <v>379</v>
      </c>
      <c r="B21" s="133" t="str">
        <f>A15</f>
        <v>Реконструкция ТП 66 (инв. № 5351233), строительство ЛЭП 0,4 кВ от ТП 66, с установкой СП Нового по ул. Садовой в г. Черняховске</v>
      </c>
    </row>
    <row r="22" spans="1:2" ht="16.5" thickBot="1" x14ac:dyDescent="0.3">
      <c r="A22" s="132" t="s">
        <v>380</v>
      </c>
      <c r="B22" s="133"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132" t="s">
        <v>345</v>
      </c>
      <c r="B23" s="134" t="s">
        <v>706</v>
      </c>
    </row>
    <row r="24" spans="1:2" ht="16.5" thickBot="1" x14ac:dyDescent="0.3">
      <c r="A24" s="132" t="s">
        <v>381</v>
      </c>
      <c r="B24" s="134" t="s">
        <v>705</v>
      </c>
    </row>
    <row r="25" spans="1:2" ht="16.5" thickBot="1" x14ac:dyDescent="0.3">
      <c r="A25" s="135" t="s">
        <v>382</v>
      </c>
      <c r="B25" s="133">
        <v>2020</v>
      </c>
    </row>
    <row r="26" spans="1:2" ht="16.5" thickBot="1" x14ac:dyDescent="0.3">
      <c r="A26" s="136" t="s">
        <v>383</v>
      </c>
      <c r="B26" s="137" t="s">
        <v>724</v>
      </c>
    </row>
    <row r="27" spans="1:2" ht="29.25" thickBot="1" x14ac:dyDescent="0.3">
      <c r="A27" s="144" t="s">
        <v>657</v>
      </c>
      <c r="B27" s="314">
        <f>'5. анализ эконом эфф'!B122</f>
        <v>1.5155349599999999</v>
      </c>
    </row>
    <row r="28" spans="1:2" ht="16.5" thickBot="1" x14ac:dyDescent="0.3">
      <c r="A28" s="139" t="s">
        <v>384</v>
      </c>
      <c r="B28" s="139" t="s">
        <v>707</v>
      </c>
    </row>
    <row r="29" spans="1:2" ht="29.25" thickBot="1" x14ac:dyDescent="0.3">
      <c r="A29" s="145" t="s">
        <v>385</v>
      </c>
      <c r="B29" s="378">
        <f>'7. Паспорт отчет о закупке'!AD31/1000</f>
        <v>1.4851234000000002</v>
      </c>
    </row>
    <row r="30" spans="1:2" ht="29.25" thickBot="1" x14ac:dyDescent="0.3">
      <c r="A30" s="145" t="s">
        <v>386</v>
      </c>
      <c r="B30" s="378">
        <f>B32+B41+B58</f>
        <v>1.4851234</v>
      </c>
    </row>
    <row r="31" spans="1:2" ht="16.5" thickBot="1" x14ac:dyDescent="0.3">
      <c r="A31" s="139" t="s">
        <v>387</v>
      </c>
      <c r="B31" s="378"/>
    </row>
    <row r="32" spans="1:2" ht="29.25" thickBot="1" x14ac:dyDescent="0.3">
      <c r="A32" s="145" t="s">
        <v>388</v>
      </c>
      <c r="B32" s="378">
        <f>B33+B37</f>
        <v>1.3895884000000001</v>
      </c>
    </row>
    <row r="33" spans="1:3" s="325" customFormat="1" ht="30.75" thickBot="1" x14ac:dyDescent="0.3">
      <c r="A33" s="381" t="s">
        <v>711</v>
      </c>
      <c r="B33" s="382">
        <v>1.3895884000000001</v>
      </c>
    </row>
    <row r="34" spans="1:3" ht="16.5" thickBot="1" x14ac:dyDescent="0.3">
      <c r="A34" s="139" t="s">
        <v>390</v>
      </c>
      <c r="B34" s="326">
        <f>B33/$B$27</f>
        <v>0.91689630175208903</v>
      </c>
    </row>
    <row r="35" spans="1:3" ht="16.5" thickBot="1" x14ac:dyDescent="0.3">
      <c r="A35" s="139" t="s">
        <v>391</v>
      </c>
      <c r="B35" s="378">
        <v>1.3895884000000001</v>
      </c>
      <c r="C35" s="129">
        <v>1</v>
      </c>
    </row>
    <row r="36" spans="1:3" ht="16.5" thickBot="1" x14ac:dyDescent="0.3">
      <c r="A36" s="139" t="s">
        <v>392</v>
      </c>
      <c r="B36" s="378">
        <v>1.3895884000000001</v>
      </c>
      <c r="C36" s="129">
        <v>2</v>
      </c>
    </row>
    <row r="37" spans="1:3" s="325" customFormat="1" ht="16.5" thickBot="1" x14ac:dyDescent="0.3">
      <c r="A37" s="340" t="s">
        <v>389</v>
      </c>
      <c r="B37" s="379">
        <v>0</v>
      </c>
    </row>
    <row r="38" spans="1:3" ht="16.5" thickBot="1" x14ac:dyDescent="0.3">
      <c r="A38" s="139" t="s">
        <v>390</v>
      </c>
      <c r="B38" s="326">
        <f>B37/$B$27</f>
        <v>0</v>
      </c>
    </row>
    <row r="39" spans="1:3" ht="16.5" thickBot="1" x14ac:dyDescent="0.3">
      <c r="A39" s="139" t="s">
        <v>391</v>
      </c>
      <c r="B39" s="378">
        <v>0</v>
      </c>
      <c r="C39" s="129">
        <v>1</v>
      </c>
    </row>
    <row r="40" spans="1:3" ht="16.5" thickBot="1" x14ac:dyDescent="0.3">
      <c r="A40" s="139" t="s">
        <v>392</v>
      </c>
      <c r="B40" s="378">
        <v>0</v>
      </c>
      <c r="C40" s="129">
        <v>2</v>
      </c>
    </row>
    <row r="41" spans="1:3" ht="29.25" thickBot="1" x14ac:dyDescent="0.3">
      <c r="A41" s="145" t="s">
        <v>393</v>
      </c>
      <c r="B41" s="378">
        <f>B42+B46+B50+B54</f>
        <v>0</v>
      </c>
    </row>
    <row r="42" spans="1:3" s="325" customFormat="1" ht="16.5" thickBot="1" x14ac:dyDescent="0.3">
      <c r="A42" s="324" t="s">
        <v>389</v>
      </c>
      <c r="B42" s="379">
        <v>0</v>
      </c>
    </row>
    <row r="43" spans="1:3" ht="16.5" thickBot="1" x14ac:dyDescent="0.3">
      <c r="A43" s="139" t="s">
        <v>390</v>
      </c>
      <c r="B43" s="326">
        <f>B42/$B$27</f>
        <v>0</v>
      </c>
    </row>
    <row r="44" spans="1:3" ht="16.5" thickBot="1" x14ac:dyDescent="0.3">
      <c r="A44" s="139" t="s">
        <v>391</v>
      </c>
      <c r="B44" s="378">
        <v>0</v>
      </c>
      <c r="C44" s="129">
        <v>1</v>
      </c>
    </row>
    <row r="45" spans="1:3" ht="16.5" thickBot="1" x14ac:dyDescent="0.3">
      <c r="A45" s="139" t="s">
        <v>392</v>
      </c>
      <c r="B45" s="378">
        <v>0</v>
      </c>
      <c r="C45" s="129">
        <v>2</v>
      </c>
    </row>
    <row r="46" spans="1:3" s="325" customFormat="1" ht="16.5" thickBot="1" x14ac:dyDescent="0.3">
      <c r="A46" s="324" t="s">
        <v>389</v>
      </c>
      <c r="B46" s="379">
        <v>0</v>
      </c>
    </row>
    <row r="47" spans="1:3" ht="16.5" thickBot="1" x14ac:dyDescent="0.3">
      <c r="A47" s="139" t="s">
        <v>390</v>
      </c>
      <c r="B47" s="326">
        <f>B46/$B$27</f>
        <v>0</v>
      </c>
    </row>
    <row r="48" spans="1:3" ht="16.5" thickBot="1" x14ac:dyDescent="0.3">
      <c r="A48" s="139" t="s">
        <v>391</v>
      </c>
      <c r="B48" s="378">
        <v>0</v>
      </c>
      <c r="C48" s="129">
        <v>1</v>
      </c>
    </row>
    <row r="49" spans="1:3" ht="16.5" thickBot="1" x14ac:dyDescent="0.3">
      <c r="A49" s="139" t="s">
        <v>392</v>
      </c>
      <c r="B49" s="378">
        <v>0</v>
      </c>
      <c r="C49" s="129">
        <v>2</v>
      </c>
    </row>
    <row r="50" spans="1:3" s="325" customFormat="1" ht="16.5" thickBot="1" x14ac:dyDescent="0.3">
      <c r="A50" s="324" t="s">
        <v>389</v>
      </c>
      <c r="B50" s="379">
        <v>0</v>
      </c>
    </row>
    <row r="51" spans="1:3" ht="16.5" thickBot="1" x14ac:dyDescent="0.3">
      <c r="A51" s="139" t="s">
        <v>390</v>
      </c>
      <c r="B51" s="326">
        <f>B50/$B$27</f>
        <v>0</v>
      </c>
    </row>
    <row r="52" spans="1:3" ht="16.5" thickBot="1" x14ac:dyDescent="0.3">
      <c r="A52" s="139" t="s">
        <v>391</v>
      </c>
      <c r="B52" s="378">
        <v>0</v>
      </c>
      <c r="C52" s="129">
        <v>1</v>
      </c>
    </row>
    <row r="53" spans="1:3" ht="16.5" thickBot="1" x14ac:dyDescent="0.3">
      <c r="A53" s="139" t="s">
        <v>392</v>
      </c>
      <c r="B53" s="378">
        <v>0</v>
      </c>
      <c r="C53" s="129">
        <v>2</v>
      </c>
    </row>
    <row r="54" spans="1:3" s="325" customFormat="1" ht="16.5" thickBot="1" x14ac:dyDescent="0.3">
      <c r="A54" s="324" t="s">
        <v>389</v>
      </c>
      <c r="B54" s="379">
        <v>0</v>
      </c>
    </row>
    <row r="55" spans="1:3" ht="16.5" thickBot="1" x14ac:dyDescent="0.3">
      <c r="A55" s="139" t="s">
        <v>390</v>
      </c>
      <c r="B55" s="326">
        <f>B54/$B$27</f>
        <v>0</v>
      </c>
    </row>
    <row r="56" spans="1:3" ht="16.5" thickBot="1" x14ac:dyDescent="0.3">
      <c r="A56" s="139" t="s">
        <v>391</v>
      </c>
      <c r="B56" s="378">
        <v>0</v>
      </c>
      <c r="C56" s="129">
        <v>1</v>
      </c>
    </row>
    <row r="57" spans="1:3" ht="16.5" thickBot="1" x14ac:dyDescent="0.3">
      <c r="A57" s="139" t="s">
        <v>392</v>
      </c>
      <c r="B57" s="378">
        <v>0</v>
      </c>
      <c r="C57" s="129">
        <v>2</v>
      </c>
    </row>
    <row r="58" spans="1:3" ht="29.25" thickBot="1" x14ac:dyDescent="0.3">
      <c r="A58" s="145" t="s">
        <v>394</v>
      </c>
      <c r="B58" s="378">
        <f>B59+B63+B67+B71</f>
        <v>9.5534999999999995E-2</v>
      </c>
    </row>
    <row r="59" spans="1:3" s="325" customFormat="1" ht="30.75" thickBot="1" x14ac:dyDescent="0.3">
      <c r="A59" s="381" t="s">
        <v>709</v>
      </c>
      <c r="B59" s="382">
        <v>9.5534999999999995E-2</v>
      </c>
    </row>
    <row r="60" spans="1:3" ht="16.5" thickBot="1" x14ac:dyDescent="0.3">
      <c r="A60" s="139" t="s">
        <v>390</v>
      </c>
      <c r="B60" s="326">
        <f>B59/$B$27</f>
        <v>6.3037146962284532E-2</v>
      </c>
    </row>
    <row r="61" spans="1:3" ht="16.5" thickBot="1" x14ac:dyDescent="0.3">
      <c r="A61" s="139" t="s">
        <v>391</v>
      </c>
      <c r="B61" s="378">
        <v>9.5534999999999995E-2</v>
      </c>
      <c r="C61" s="129">
        <v>1</v>
      </c>
    </row>
    <row r="62" spans="1:3" ht="16.5" thickBot="1" x14ac:dyDescent="0.3">
      <c r="A62" s="139" t="s">
        <v>392</v>
      </c>
      <c r="B62" s="378">
        <v>9.5534999999999995E-2</v>
      </c>
      <c r="C62" s="129">
        <v>2</v>
      </c>
    </row>
    <row r="63" spans="1:3" s="325" customFormat="1" ht="16.5" thickBot="1" x14ac:dyDescent="0.3">
      <c r="A63" s="340" t="s">
        <v>389</v>
      </c>
      <c r="B63" s="379">
        <v>0</v>
      </c>
    </row>
    <row r="64" spans="1:3" ht="16.5" thickBot="1" x14ac:dyDescent="0.3">
      <c r="A64" s="139" t="s">
        <v>390</v>
      </c>
      <c r="B64" s="326">
        <f t="shared" ref="B64" si="0">B63/$B$27</f>
        <v>0</v>
      </c>
    </row>
    <row r="65" spans="1:3" ht="16.5" thickBot="1" x14ac:dyDescent="0.3">
      <c r="A65" s="139" t="s">
        <v>391</v>
      </c>
      <c r="B65" s="378">
        <v>0</v>
      </c>
      <c r="C65" s="129">
        <v>1</v>
      </c>
    </row>
    <row r="66" spans="1:3" ht="16.5" thickBot="1" x14ac:dyDescent="0.3">
      <c r="A66" s="139" t="s">
        <v>392</v>
      </c>
      <c r="B66" s="378">
        <v>0</v>
      </c>
      <c r="C66" s="129">
        <v>2</v>
      </c>
    </row>
    <row r="67" spans="1:3" s="325" customFormat="1" ht="16.5" thickBot="1" x14ac:dyDescent="0.3">
      <c r="A67" s="340" t="s">
        <v>389</v>
      </c>
      <c r="B67" s="379">
        <v>0</v>
      </c>
    </row>
    <row r="68" spans="1:3" ht="16.5" thickBot="1" x14ac:dyDescent="0.3">
      <c r="A68" s="139" t="s">
        <v>390</v>
      </c>
      <c r="B68" s="326">
        <f t="shared" ref="B68" si="1">B67/$B$27</f>
        <v>0</v>
      </c>
    </row>
    <row r="69" spans="1:3" ht="16.5" thickBot="1" x14ac:dyDescent="0.3">
      <c r="A69" s="139" t="s">
        <v>391</v>
      </c>
      <c r="B69" s="378">
        <v>0</v>
      </c>
      <c r="C69" s="129">
        <v>1</v>
      </c>
    </row>
    <row r="70" spans="1:3" ht="16.5" thickBot="1" x14ac:dyDescent="0.3">
      <c r="A70" s="139" t="s">
        <v>392</v>
      </c>
      <c r="B70" s="378">
        <v>0</v>
      </c>
      <c r="C70" s="129">
        <v>2</v>
      </c>
    </row>
    <row r="71" spans="1:3" s="325" customFormat="1" ht="16.5" thickBot="1" x14ac:dyDescent="0.3">
      <c r="A71" s="340" t="s">
        <v>389</v>
      </c>
      <c r="B71" s="379">
        <v>0</v>
      </c>
    </row>
    <row r="72" spans="1:3" ht="16.5" thickBot="1" x14ac:dyDescent="0.3">
      <c r="A72" s="139" t="s">
        <v>390</v>
      </c>
      <c r="B72" s="326">
        <f t="shared" ref="B72" si="2">B71/$B$27</f>
        <v>0</v>
      </c>
    </row>
    <row r="73" spans="1:3" ht="16.5" thickBot="1" x14ac:dyDescent="0.3">
      <c r="A73" s="139" t="s">
        <v>391</v>
      </c>
      <c r="B73" s="378">
        <v>0</v>
      </c>
      <c r="C73" s="129">
        <v>1</v>
      </c>
    </row>
    <row r="74" spans="1:3" ht="16.5" thickBot="1" x14ac:dyDescent="0.3">
      <c r="A74" s="139" t="s">
        <v>392</v>
      </c>
      <c r="B74" s="378">
        <v>0</v>
      </c>
      <c r="C74" s="129">
        <v>2</v>
      </c>
    </row>
    <row r="75" spans="1:3" ht="29.25" thickBot="1" x14ac:dyDescent="0.3">
      <c r="A75" s="138" t="s">
        <v>395</v>
      </c>
      <c r="B75" s="326">
        <f>B30/B27</f>
        <v>0.97993344871437349</v>
      </c>
    </row>
    <row r="76" spans="1:3" ht="16.5" thickBot="1" x14ac:dyDescent="0.3">
      <c r="A76" s="140" t="s">
        <v>387</v>
      </c>
      <c r="B76" s="146"/>
    </row>
    <row r="77" spans="1:3" ht="16.5" thickBot="1" x14ac:dyDescent="0.3">
      <c r="A77" s="140" t="s">
        <v>396</v>
      </c>
      <c r="B77" s="370"/>
    </row>
    <row r="78" spans="1:3" ht="16.5" thickBot="1" x14ac:dyDescent="0.3">
      <c r="A78" s="140" t="s">
        <v>397</v>
      </c>
      <c r="B78" s="370"/>
    </row>
    <row r="79" spans="1:3" ht="16.5" thickBot="1" x14ac:dyDescent="0.3">
      <c r="A79" s="140" t="s">
        <v>398</v>
      </c>
      <c r="B79" s="327">
        <f>B59/B27</f>
        <v>6.3037146962284532E-2</v>
      </c>
    </row>
    <row r="80" spans="1:3" ht="16.5" thickBot="1" x14ac:dyDescent="0.3">
      <c r="A80" s="135" t="s">
        <v>399</v>
      </c>
      <c r="B80" s="327">
        <f>B81/$B$27</f>
        <v>0.97993344871437349</v>
      </c>
    </row>
    <row r="81" spans="1:6" ht="16.5" thickBot="1" x14ac:dyDescent="0.3">
      <c r="A81" s="135" t="s">
        <v>400</v>
      </c>
      <c r="B81" s="380">
        <f xml:space="preserve"> SUMIF(C33:C74, 1,B33:B74)</f>
        <v>1.4851234</v>
      </c>
    </row>
    <row r="82" spans="1:6" ht="16.5" thickBot="1" x14ac:dyDescent="0.3">
      <c r="A82" s="135" t="s">
        <v>401</v>
      </c>
      <c r="B82" s="327">
        <f>B83/$B$27</f>
        <v>0.97993344871437349</v>
      </c>
    </row>
    <row r="83" spans="1:6" ht="16.5" thickBot="1" x14ac:dyDescent="0.3">
      <c r="A83" s="136" t="s">
        <v>402</v>
      </c>
      <c r="B83" s="380">
        <f xml:space="preserve"> SUMIF(C35:C76, 2,B35:B76)</f>
        <v>1.4851234</v>
      </c>
      <c r="F83" s="369"/>
    </row>
    <row r="84" spans="1:6" ht="15.6" customHeight="1" x14ac:dyDescent="0.25">
      <c r="A84" s="138" t="s">
        <v>403</v>
      </c>
      <c r="B84" s="140" t="s">
        <v>404</v>
      </c>
    </row>
    <row r="85" spans="1:6" x14ac:dyDescent="0.25">
      <c r="A85" s="142" t="s">
        <v>405</v>
      </c>
      <c r="B85" s="142" t="s">
        <v>529</v>
      </c>
    </row>
    <row r="86" spans="1:6" ht="15.75" customHeight="1" x14ac:dyDescent="0.25">
      <c r="A86" s="142" t="s">
        <v>406</v>
      </c>
      <c r="B86" s="142" t="s">
        <v>710</v>
      </c>
    </row>
    <row r="87" spans="1:6" x14ac:dyDescent="0.25">
      <c r="A87" s="142" t="s">
        <v>407</v>
      </c>
      <c r="B87" s="142"/>
    </row>
    <row r="88" spans="1:6" ht="30" x14ac:dyDescent="0.25">
      <c r="A88" s="142" t="s">
        <v>408</v>
      </c>
      <c r="B88" s="142" t="s">
        <v>712</v>
      </c>
    </row>
    <row r="89" spans="1:6" ht="16.5" thickBot="1" x14ac:dyDescent="0.3">
      <c r="A89" s="143" t="s">
        <v>409</v>
      </c>
      <c r="B89" s="143"/>
    </row>
    <row r="90" spans="1:6" ht="30.75" thickBot="1" x14ac:dyDescent="0.3">
      <c r="A90" s="140" t="s">
        <v>410</v>
      </c>
      <c r="B90" s="141" t="s">
        <v>641</v>
      </c>
    </row>
    <row r="91" spans="1:6" ht="29.25" thickBot="1" x14ac:dyDescent="0.3">
      <c r="A91" s="135" t="s">
        <v>411</v>
      </c>
      <c r="B91" s="363">
        <v>7</v>
      </c>
    </row>
    <row r="92" spans="1:6" ht="16.5" thickBot="1" x14ac:dyDescent="0.3">
      <c r="A92" s="140" t="s">
        <v>387</v>
      </c>
      <c r="B92" s="364"/>
    </row>
    <row r="93" spans="1:6" ht="16.5" thickBot="1" x14ac:dyDescent="0.3">
      <c r="A93" s="140" t="s">
        <v>412</v>
      </c>
      <c r="B93" s="363">
        <v>4</v>
      </c>
    </row>
    <row r="94" spans="1:6" ht="16.5" thickBot="1" x14ac:dyDescent="0.3">
      <c r="A94" s="140" t="s">
        <v>413</v>
      </c>
      <c r="B94" s="364">
        <v>3</v>
      </c>
    </row>
    <row r="95" spans="1:6" ht="16.5" thickBot="1" x14ac:dyDescent="0.3">
      <c r="A95" s="148" t="s">
        <v>414</v>
      </c>
      <c r="B95" s="315" t="s">
        <v>708</v>
      </c>
    </row>
    <row r="96" spans="1:6" ht="16.5" thickBot="1" x14ac:dyDescent="0.3">
      <c r="A96" s="135" t="s">
        <v>415</v>
      </c>
      <c r="B96" s="147"/>
    </row>
    <row r="97" spans="1:2" ht="16.5" thickBot="1" x14ac:dyDescent="0.3">
      <c r="A97" s="142" t="s">
        <v>416</v>
      </c>
      <c r="B97" s="371" t="s">
        <v>641</v>
      </c>
    </row>
    <row r="98" spans="1:2" ht="16.5" thickBot="1" x14ac:dyDescent="0.3">
      <c r="A98" s="142" t="s">
        <v>417</v>
      </c>
      <c r="B98" s="149" t="s">
        <v>641</v>
      </c>
    </row>
    <row r="99" spans="1:2" ht="16.5" thickBot="1" x14ac:dyDescent="0.3">
      <c r="A99" s="142" t="s">
        <v>418</v>
      </c>
      <c r="B99" s="149" t="s">
        <v>641</v>
      </c>
    </row>
    <row r="100" spans="1:2" ht="30.75" thickBot="1" x14ac:dyDescent="0.3">
      <c r="A100" s="150" t="s">
        <v>419</v>
      </c>
      <c r="B100" s="383" t="s">
        <v>725</v>
      </c>
    </row>
    <row r="101" spans="1:2" ht="28.5" x14ac:dyDescent="0.25">
      <c r="A101" s="138" t="s">
        <v>420</v>
      </c>
      <c r="B101" s="514" t="s">
        <v>723</v>
      </c>
    </row>
    <row r="102" spans="1:2" x14ac:dyDescent="0.25">
      <c r="A102" s="142" t="s">
        <v>421</v>
      </c>
      <c r="B102" s="515"/>
    </row>
    <row r="103" spans="1:2" x14ac:dyDescent="0.25">
      <c r="A103" s="142" t="s">
        <v>422</v>
      </c>
      <c r="B103" s="515"/>
    </row>
    <row r="104" spans="1:2" x14ac:dyDescent="0.25">
      <c r="A104" s="142" t="s">
        <v>423</v>
      </c>
      <c r="B104" s="515"/>
    </row>
    <row r="105" spans="1:2" x14ac:dyDescent="0.25">
      <c r="A105" s="142" t="s">
        <v>424</v>
      </c>
      <c r="B105" s="515"/>
    </row>
    <row r="106" spans="1:2" ht="16.5" thickBot="1" x14ac:dyDescent="0.3">
      <c r="A106" s="151" t="s">
        <v>425</v>
      </c>
      <c r="B106" s="516"/>
    </row>
    <row r="109" spans="1:2" x14ac:dyDescent="0.25">
      <c r="A109" s="152"/>
      <c r="B109" s="153"/>
    </row>
    <row r="110" spans="1:2" x14ac:dyDescent="0.25">
      <c r="B110" s="154"/>
    </row>
    <row r="111" spans="1:2" x14ac:dyDescent="0.25">
      <c r="B111" s="15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11" sqref="A11"/>
    </sheetView>
  </sheetViews>
  <sheetFormatPr defaultRowHeight="15" x14ac:dyDescent="0.25"/>
  <cols>
    <col min="1" max="1" width="125.42578125" customWidth="1"/>
  </cols>
  <sheetData>
    <row r="1" spans="1:1" ht="25.5" customHeight="1" x14ac:dyDescent="0.25">
      <c r="A1" s="517" t="s">
        <v>573</v>
      </c>
    </row>
    <row r="2" spans="1:1" ht="25.5" customHeight="1" x14ac:dyDescent="0.25">
      <c r="A2" s="517"/>
    </row>
    <row r="3" spans="1:1" ht="25.5" customHeight="1" x14ac:dyDescent="0.25">
      <c r="A3" s="517"/>
    </row>
    <row r="4" spans="1:1" ht="25.5" customHeight="1" x14ac:dyDescent="0.25">
      <c r="A4" s="517"/>
    </row>
    <row r="5" spans="1:1" ht="25.5" customHeight="1" x14ac:dyDescent="0.25">
      <c r="A5" s="517"/>
    </row>
    <row r="6" spans="1:1" ht="23.25" customHeight="1" x14ac:dyDescent="0.25">
      <c r="A6" s="268">
        <v>2</v>
      </c>
    </row>
    <row r="7" spans="1:1" s="121" customFormat="1" ht="23.25" customHeight="1" x14ac:dyDescent="0.25">
      <c r="A7" s="272" t="s">
        <v>574</v>
      </c>
    </row>
    <row r="8" spans="1:1" ht="31.5" customHeight="1" x14ac:dyDescent="0.25">
      <c r="A8" s="269" t="s">
        <v>583</v>
      </c>
    </row>
    <row r="9" spans="1:1" ht="45.75" customHeight="1" x14ac:dyDescent="0.25">
      <c r="A9" s="269" t="s">
        <v>584</v>
      </c>
    </row>
    <row r="10" spans="1:1" ht="33.75" customHeight="1" x14ac:dyDescent="0.25">
      <c r="A10" s="269" t="s">
        <v>585</v>
      </c>
    </row>
    <row r="11" spans="1:1" ht="23.25" customHeight="1" x14ac:dyDescent="0.25">
      <c r="A11" s="269" t="s">
        <v>586</v>
      </c>
    </row>
    <row r="12" spans="1:1" ht="23.25" customHeight="1" x14ac:dyDescent="0.25">
      <c r="A12" s="269" t="s">
        <v>587</v>
      </c>
    </row>
    <row r="13" spans="1:1" ht="33" customHeight="1" x14ac:dyDescent="0.25">
      <c r="A13" s="269" t="s">
        <v>588</v>
      </c>
    </row>
    <row r="14" spans="1:1" ht="23.25" customHeight="1" x14ac:dyDescent="0.25">
      <c r="A14" s="269" t="s">
        <v>589</v>
      </c>
    </row>
    <row r="15" spans="1:1" ht="23.25" customHeight="1" x14ac:dyDescent="0.25">
      <c r="A15" s="270" t="s">
        <v>590</v>
      </c>
    </row>
    <row r="16" spans="1:1" ht="34.5" customHeight="1" x14ac:dyDescent="0.25">
      <c r="A16" s="270" t="s">
        <v>591</v>
      </c>
    </row>
    <row r="17" spans="1:1" ht="39.75" customHeight="1" x14ac:dyDescent="0.25">
      <c r="A17" s="270" t="s">
        <v>592</v>
      </c>
    </row>
    <row r="18" spans="1:1" ht="40.5" customHeight="1" x14ac:dyDescent="0.25">
      <c r="A18" s="270" t="s">
        <v>593</v>
      </c>
    </row>
    <row r="19" spans="1:1" ht="48.75" customHeight="1" x14ac:dyDescent="0.25">
      <c r="A19" s="270" t="s">
        <v>591</v>
      </c>
    </row>
    <row r="20" spans="1:1" ht="39" customHeight="1" x14ac:dyDescent="0.25">
      <c r="A20" s="269" t="s">
        <v>592</v>
      </c>
    </row>
    <row r="21" spans="1:1" ht="39.75" customHeight="1" x14ac:dyDescent="0.25">
      <c r="A21" s="269" t="s">
        <v>594</v>
      </c>
    </row>
    <row r="22" spans="1:1" ht="35.25" customHeight="1" x14ac:dyDescent="0.25">
      <c r="A22" s="269" t="s">
        <v>595</v>
      </c>
    </row>
    <row r="23" spans="1:1" ht="35.25" customHeight="1" x14ac:dyDescent="0.25">
      <c r="A23" s="269" t="s">
        <v>596</v>
      </c>
    </row>
    <row r="24" spans="1:1" ht="57.75" customHeight="1" x14ac:dyDescent="0.25">
      <c r="A24" s="269" t="s">
        <v>597</v>
      </c>
    </row>
    <row r="25" spans="1:1" s="121" customFormat="1" ht="23.25" customHeight="1" x14ac:dyDescent="0.25">
      <c r="A25" s="272" t="s">
        <v>598</v>
      </c>
    </row>
    <row r="26" spans="1:1" ht="36.75" customHeight="1" x14ac:dyDescent="0.25">
      <c r="A26" s="269" t="s">
        <v>599</v>
      </c>
    </row>
    <row r="27" spans="1:1" ht="23.25" customHeight="1" x14ac:dyDescent="0.25">
      <c r="A27" s="269" t="s">
        <v>600</v>
      </c>
    </row>
    <row r="28" spans="1:1" ht="30.75" customHeight="1" x14ac:dyDescent="0.25">
      <c r="A28" s="269" t="s">
        <v>601</v>
      </c>
    </row>
    <row r="29" spans="1:1" s="271" customFormat="1" ht="23.25" customHeight="1" x14ac:dyDescent="0.25">
      <c r="A29" s="269" t="s">
        <v>602</v>
      </c>
    </row>
    <row r="30" spans="1:1" s="271" customFormat="1" ht="23.25" customHeight="1" x14ac:dyDescent="0.25">
      <c r="A30" s="269" t="s">
        <v>603</v>
      </c>
    </row>
    <row r="31" spans="1:1" ht="23.25" customHeight="1" x14ac:dyDescent="0.25">
      <c r="A31" s="269" t="s">
        <v>604</v>
      </c>
    </row>
    <row r="32" spans="1:1" ht="23.25" customHeight="1" x14ac:dyDescent="0.25">
      <c r="A32" s="269" t="s">
        <v>605</v>
      </c>
    </row>
    <row r="33" spans="1:1" ht="23.25" customHeight="1" x14ac:dyDescent="0.25">
      <c r="A33" s="269" t="s">
        <v>606</v>
      </c>
    </row>
    <row r="34" spans="1:1" ht="23.25" customHeight="1" x14ac:dyDescent="0.25">
      <c r="A34" s="269" t="s">
        <v>607</v>
      </c>
    </row>
    <row r="35" spans="1:1" ht="23.25" customHeight="1" x14ac:dyDescent="0.25">
      <c r="A35" s="269" t="s">
        <v>608</v>
      </c>
    </row>
    <row r="36" spans="1:1" ht="23.25" customHeight="1" x14ac:dyDescent="0.25">
      <c r="A36" s="269" t="s">
        <v>609</v>
      </c>
    </row>
    <row r="37" spans="1:1" ht="23.25" customHeight="1" x14ac:dyDescent="0.25">
      <c r="A37" s="269" t="s">
        <v>610</v>
      </c>
    </row>
    <row r="38" spans="1:1" ht="23.25" customHeight="1" x14ac:dyDescent="0.25">
      <c r="A38" s="269" t="s">
        <v>611</v>
      </c>
    </row>
    <row r="39" spans="1:1" ht="23.25" customHeight="1" x14ac:dyDescent="0.25">
      <c r="A39" s="269" t="s">
        <v>612</v>
      </c>
    </row>
    <row r="40" spans="1:1" ht="23.25" customHeight="1" x14ac:dyDescent="0.25">
      <c r="A40" s="269" t="s">
        <v>613</v>
      </c>
    </row>
    <row r="41" spans="1:1" ht="23.25" customHeight="1" x14ac:dyDescent="0.25">
      <c r="A41" s="269" t="s">
        <v>614</v>
      </c>
    </row>
    <row r="42" spans="1:1" ht="23.25" customHeight="1" x14ac:dyDescent="0.25">
      <c r="A42" s="269" t="s">
        <v>615</v>
      </c>
    </row>
    <row r="43" spans="1:1" ht="23.25" customHeight="1" x14ac:dyDescent="0.25">
      <c r="A43" s="269" t="s">
        <v>616</v>
      </c>
    </row>
    <row r="44" spans="1:1" s="121" customFormat="1" ht="36" customHeight="1" x14ac:dyDescent="0.25">
      <c r="A44" s="272" t="s">
        <v>617</v>
      </c>
    </row>
    <row r="45" spans="1:1" ht="36" customHeight="1" x14ac:dyDescent="0.25">
      <c r="A45" s="269" t="s">
        <v>618</v>
      </c>
    </row>
    <row r="46" spans="1:1" ht="36" customHeight="1" x14ac:dyDescent="0.25">
      <c r="A46" s="269" t="s">
        <v>619</v>
      </c>
    </row>
    <row r="47" spans="1:1" s="121" customFormat="1" ht="23.25" customHeight="1" x14ac:dyDescent="0.25">
      <c r="A47" s="272" t="s">
        <v>620</v>
      </c>
    </row>
    <row r="48" spans="1:1" s="121" customFormat="1" ht="23.25" customHeight="1" x14ac:dyDescent="0.25">
      <c r="A48" s="273" t="s">
        <v>621</v>
      </c>
    </row>
    <row r="49" spans="1:1" s="121" customFormat="1" ht="23.25" customHeight="1" x14ac:dyDescent="0.25">
      <c r="A49" s="273" t="s">
        <v>622</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660</v>
      </c>
    </row>
    <row r="2" spans="1:1" ht="18.75" customHeight="1" x14ac:dyDescent="0.25">
      <c r="A2" t="s">
        <v>661</v>
      </c>
    </row>
    <row r="3" spans="1:1" x14ac:dyDescent="0.25">
      <c r="A3" t="s">
        <v>624</v>
      </c>
    </row>
    <row r="4" spans="1:1" x14ac:dyDescent="0.25">
      <c r="A4" t="s">
        <v>662</v>
      </c>
    </row>
    <row r="5" spans="1:1" x14ac:dyDescent="0.25">
      <c r="A5" t="s">
        <v>663</v>
      </c>
    </row>
    <row r="6" spans="1:1" x14ac:dyDescent="0.25">
      <c r="A6" t="s">
        <v>664</v>
      </c>
    </row>
    <row r="7" spans="1:1" x14ac:dyDescent="0.25">
      <c r="A7" t="s">
        <v>665</v>
      </c>
    </row>
    <row r="8" spans="1:1" x14ac:dyDescent="0.25">
      <c r="A8" t="s">
        <v>666</v>
      </c>
    </row>
    <row r="9" spans="1:1" x14ac:dyDescent="0.25">
      <c r="A9" t="s">
        <v>625</v>
      </c>
    </row>
    <row r="10" spans="1:1" x14ac:dyDescent="0.25">
      <c r="A10" t="s">
        <v>626</v>
      </c>
    </row>
    <row r="11" spans="1:1" x14ac:dyDescent="0.25">
      <c r="A11" t="s">
        <v>667</v>
      </c>
    </row>
    <row r="12" spans="1:1" x14ac:dyDescent="0.25">
      <c r="A12" t="s">
        <v>668</v>
      </c>
    </row>
    <row r="13" spans="1:1" x14ac:dyDescent="0.25">
      <c r="A13" t="s">
        <v>669</v>
      </c>
    </row>
    <row r="14" spans="1:1" x14ac:dyDescent="0.25">
      <c r="A14" t="s">
        <v>627</v>
      </c>
    </row>
    <row r="15" spans="1:1" x14ac:dyDescent="0.25">
      <c r="A15" t="s">
        <v>670</v>
      </c>
    </row>
    <row r="16" spans="1:1" x14ac:dyDescent="0.25">
      <c r="A16" t="s">
        <v>671</v>
      </c>
    </row>
    <row r="17" spans="1:1" x14ac:dyDescent="0.25">
      <c r="A17" t="s">
        <v>628</v>
      </c>
    </row>
    <row r="18" spans="1:1" x14ac:dyDescent="0.25">
      <c r="A18" t="s">
        <v>672</v>
      </c>
    </row>
    <row r="19" spans="1:1" x14ac:dyDescent="0.25">
      <c r="A19" t="s">
        <v>673</v>
      </c>
    </row>
    <row r="20" spans="1:1" ht="17.25" customHeight="1" x14ac:dyDescent="0.25">
      <c r="A20" t="s">
        <v>629</v>
      </c>
    </row>
    <row r="21" spans="1:1" x14ac:dyDescent="0.25">
      <c r="A21" t="s">
        <v>674</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531</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575</v>
      </c>
    </row>
    <row r="2" spans="1:1" x14ac:dyDescent="0.25">
      <c r="A2" t="s">
        <v>576</v>
      </c>
    </row>
    <row r="3" spans="1:1" x14ac:dyDescent="0.25">
      <c r="A3" t="s">
        <v>577</v>
      </c>
    </row>
    <row r="4" spans="1:1" x14ac:dyDescent="0.25">
      <c r="A4" t="s">
        <v>578</v>
      </c>
    </row>
    <row r="5" spans="1:1" x14ac:dyDescent="0.25">
      <c r="A5" t="s">
        <v>579</v>
      </c>
    </row>
    <row r="6" spans="1:1" x14ac:dyDescent="0.25">
      <c r="A6" t="s">
        <v>580</v>
      </c>
    </row>
    <row r="7" spans="1:1" x14ac:dyDescent="0.25">
      <c r="A7"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90" zoomScaleSheetLayoutView="9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4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0" t="str">
        <f>'1. паспорт местоположение'!A5:C5</f>
        <v>Год раскрытия информации: 2022 год</v>
      </c>
      <c r="B4" s="390"/>
      <c r="C4" s="390"/>
      <c r="D4" s="390"/>
      <c r="E4" s="390"/>
      <c r="F4" s="390"/>
      <c r="G4" s="390"/>
      <c r="H4" s="390"/>
      <c r="I4" s="390"/>
      <c r="J4" s="390"/>
      <c r="K4" s="390"/>
      <c r="L4" s="390"/>
      <c r="M4" s="390"/>
      <c r="N4" s="390"/>
      <c r="O4" s="390"/>
      <c r="P4" s="390"/>
      <c r="Q4" s="390"/>
      <c r="R4" s="390"/>
      <c r="S4" s="390"/>
    </row>
    <row r="5" spans="1:28" s="11" customFormat="1" ht="15.75" x14ac:dyDescent="0.2">
      <c r="A5" s="16"/>
    </row>
    <row r="6" spans="1:28" s="11" customFormat="1" ht="18.75" x14ac:dyDescent="0.2">
      <c r="A6" s="394" t="s">
        <v>7</v>
      </c>
      <c r="B6" s="394"/>
      <c r="C6" s="394"/>
      <c r="D6" s="394"/>
      <c r="E6" s="394"/>
      <c r="F6" s="394"/>
      <c r="G6" s="394"/>
      <c r="H6" s="394"/>
      <c r="I6" s="394"/>
      <c r="J6" s="394"/>
      <c r="K6" s="394"/>
      <c r="L6" s="394"/>
      <c r="M6" s="394"/>
      <c r="N6" s="394"/>
      <c r="O6" s="394"/>
      <c r="P6" s="394"/>
      <c r="Q6" s="394"/>
      <c r="R6" s="394"/>
      <c r="S6" s="394"/>
      <c r="T6" s="12"/>
      <c r="U6" s="12"/>
      <c r="V6" s="12"/>
      <c r="W6" s="12"/>
      <c r="X6" s="12"/>
      <c r="Y6" s="12"/>
      <c r="Z6" s="12"/>
      <c r="AA6" s="12"/>
      <c r="AB6" s="12"/>
    </row>
    <row r="7" spans="1:28" s="11" customFormat="1" ht="18.75" x14ac:dyDescent="0.2">
      <c r="A7" s="394"/>
      <c r="B7" s="394"/>
      <c r="C7" s="394"/>
      <c r="D7" s="394"/>
      <c r="E7" s="394"/>
      <c r="F7" s="394"/>
      <c r="G7" s="394"/>
      <c r="H7" s="394"/>
      <c r="I7" s="394"/>
      <c r="J7" s="394"/>
      <c r="K7" s="394"/>
      <c r="L7" s="394"/>
      <c r="M7" s="394"/>
      <c r="N7" s="394"/>
      <c r="O7" s="394"/>
      <c r="P7" s="394"/>
      <c r="Q7" s="394"/>
      <c r="R7" s="394"/>
      <c r="S7" s="394"/>
      <c r="T7" s="12"/>
      <c r="U7" s="12"/>
      <c r="V7" s="12"/>
      <c r="W7" s="12"/>
      <c r="X7" s="12"/>
      <c r="Y7" s="12"/>
      <c r="Z7" s="12"/>
      <c r="AA7" s="12"/>
      <c r="AB7" s="12"/>
    </row>
    <row r="8" spans="1:28" s="11" customFormat="1" ht="18.75" x14ac:dyDescent="0.2">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12"/>
      <c r="U8" s="12"/>
      <c r="V8" s="12"/>
      <c r="W8" s="12"/>
      <c r="X8" s="12"/>
      <c r="Y8" s="12"/>
      <c r="Z8" s="12"/>
      <c r="AA8" s="12"/>
      <c r="AB8" s="12"/>
    </row>
    <row r="9" spans="1:28" s="11" customFormat="1" ht="18.75" x14ac:dyDescent="0.2">
      <c r="A9" s="391" t="s">
        <v>6</v>
      </c>
      <c r="B9" s="391"/>
      <c r="C9" s="391"/>
      <c r="D9" s="391"/>
      <c r="E9" s="391"/>
      <c r="F9" s="391"/>
      <c r="G9" s="391"/>
      <c r="H9" s="391"/>
      <c r="I9" s="391"/>
      <c r="J9" s="391"/>
      <c r="K9" s="391"/>
      <c r="L9" s="391"/>
      <c r="M9" s="391"/>
      <c r="N9" s="391"/>
      <c r="O9" s="391"/>
      <c r="P9" s="391"/>
      <c r="Q9" s="391"/>
      <c r="R9" s="391"/>
      <c r="S9" s="391"/>
      <c r="T9" s="12"/>
      <c r="U9" s="12"/>
      <c r="V9" s="12"/>
      <c r="W9" s="12"/>
      <c r="X9" s="12"/>
      <c r="Y9" s="12"/>
      <c r="Z9" s="12"/>
      <c r="AA9" s="12"/>
      <c r="AB9" s="12"/>
    </row>
    <row r="10" spans="1:28" s="11" customFormat="1" ht="18.75" x14ac:dyDescent="0.2">
      <c r="A10" s="394"/>
      <c r="B10" s="394"/>
      <c r="C10" s="394"/>
      <c r="D10" s="394"/>
      <c r="E10" s="394"/>
      <c r="F10" s="394"/>
      <c r="G10" s="394"/>
      <c r="H10" s="394"/>
      <c r="I10" s="394"/>
      <c r="J10" s="394"/>
      <c r="K10" s="394"/>
      <c r="L10" s="394"/>
      <c r="M10" s="394"/>
      <c r="N10" s="394"/>
      <c r="O10" s="394"/>
      <c r="P10" s="394"/>
      <c r="Q10" s="394"/>
      <c r="R10" s="394"/>
      <c r="S10" s="394"/>
      <c r="T10" s="12"/>
      <c r="U10" s="12"/>
      <c r="V10" s="12"/>
      <c r="W10" s="12"/>
      <c r="X10" s="12"/>
      <c r="Y10" s="12"/>
      <c r="Z10" s="12"/>
      <c r="AA10" s="12"/>
      <c r="AB10" s="12"/>
    </row>
    <row r="11" spans="1:28" s="11" customFormat="1" ht="18.75" x14ac:dyDescent="0.2">
      <c r="A11" s="397" t="str">
        <f>'1. паспорт местоположение'!A12:C12</f>
        <v>J_18-1157</v>
      </c>
      <c r="B11" s="397"/>
      <c r="C11" s="397"/>
      <c r="D11" s="397"/>
      <c r="E11" s="397"/>
      <c r="F11" s="397"/>
      <c r="G11" s="397"/>
      <c r="H11" s="397"/>
      <c r="I11" s="397"/>
      <c r="J11" s="397"/>
      <c r="K11" s="397"/>
      <c r="L11" s="397"/>
      <c r="M11" s="397"/>
      <c r="N11" s="397"/>
      <c r="O11" s="397"/>
      <c r="P11" s="397"/>
      <c r="Q11" s="397"/>
      <c r="R11" s="397"/>
      <c r="S11" s="397"/>
      <c r="T11" s="12"/>
      <c r="U11" s="12"/>
      <c r="V11" s="12"/>
      <c r="W11" s="12"/>
      <c r="X11" s="12"/>
      <c r="Y11" s="12"/>
      <c r="Z11" s="12"/>
      <c r="AA11" s="12"/>
      <c r="AB11" s="12"/>
    </row>
    <row r="12" spans="1:28" s="11" customFormat="1" ht="18.75" x14ac:dyDescent="0.2">
      <c r="A12" s="391" t="s">
        <v>5</v>
      </c>
      <c r="B12" s="391"/>
      <c r="C12" s="391"/>
      <c r="D12" s="391"/>
      <c r="E12" s="391"/>
      <c r="F12" s="391"/>
      <c r="G12" s="391"/>
      <c r="H12" s="391"/>
      <c r="I12" s="391"/>
      <c r="J12" s="391"/>
      <c r="K12" s="391"/>
      <c r="L12" s="391"/>
      <c r="M12" s="391"/>
      <c r="N12" s="391"/>
      <c r="O12" s="391"/>
      <c r="P12" s="391"/>
      <c r="Q12" s="391"/>
      <c r="R12" s="391"/>
      <c r="S12" s="391"/>
      <c r="T12" s="12"/>
      <c r="U12" s="12"/>
      <c r="V12" s="12"/>
      <c r="W12" s="12"/>
      <c r="X12" s="12"/>
      <c r="Y12" s="12"/>
      <c r="Z12" s="12"/>
      <c r="AA12" s="12"/>
      <c r="AB12" s="12"/>
    </row>
    <row r="13" spans="1:28" s="8"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9"/>
      <c r="U13" s="9"/>
      <c r="V13" s="9"/>
      <c r="W13" s="9"/>
      <c r="X13" s="9"/>
      <c r="Y13" s="9"/>
      <c r="Z13" s="9"/>
      <c r="AA13" s="9"/>
      <c r="AB13" s="9"/>
    </row>
    <row r="14" spans="1:28" s="3" customFormat="1" ht="12" x14ac:dyDescent="0.2">
      <c r="A14" s="397" t="str">
        <f>'1. паспорт местоположение'!A9:C9</f>
        <v>Акционерное общество "Янтарьэнерго" ДЗО  ПАО "Россети"</v>
      </c>
      <c r="B14" s="397"/>
      <c r="C14" s="397"/>
      <c r="D14" s="397"/>
      <c r="E14" s="397"/>
      <c r="F14" s="397"/>
      <c r="G14" s="397"/>
      <c r="H14" s="397"/>
      <c r="I14" s="397"/>
      <c r="J14" s="397"/>
      <c r="K14" s="397"/>
      <c r="L14" s="397"/>
      <c r="M14" s="397"/>
      <c r="N14" s="397"/>
      <c r="O14" s="397"/>
      <c r="P14" s="397"/>
      <c r="Q14" s="397"/>
      <c r="R14" s="397"/>
      <c r="S14" s="397"/>
      <c r="T14" s="7"/>
      <c r="U14" s="7"/>
      <c r="V14" s="7"/>
      <c r="W14" s="7"/>
      <c r="X14" s="7"/>
      <c r="Y14" s="7"/>
      <c r="Z14" s="7"/>
      <c r="AA14" s="7"/>
      <c r="AB14" s="7"/>
    </row>
    <row r="15" spans="1:28" s="3" customFormat="1" ht="15" customHeight="1" x14ac:dyDescent="0.2">
      <c r="A15" s="398" t="str">
        <f>'1. паспорт местоположение'!A15:C15</f>
        <v>Реконструкция ТП 66 (инв. № 5351233), строительство ЛЭП 0,4 кВ от ТП 66, с установкой СП Нового по ул. Садовой в г. Черняховске</v>
      </c>
      <c r="B15" s="391"/>
      <c r="C15" s="391"/>
      <c r="D15" s="391"/>
      <c r="E15" s="391"/>
      <c r="F15" s="391"/>
      <c r="G15" s="391"/>
      <c r="H15" s="391"/>
      <c r="I15" s="391"/>
      <c r="J15" s="391"/>
      <c r="K15" s="391"/>
      <c r="L15" s="391"/>
      <c r="M15" s="391"/>
      <c r="N15" s="391"/>
      <c r="O15" s="391"/>
      <c r="P15" s="391"/>
      <c r="Q15" s="391"/>
      <c r="R15" s="391"/>
      <c r="S15" s="391"/>
      <c r="T15" s="5"/>
      <c r="U15" s="5"/>
      <c r="V15" s="5"/>
      <c r="W15" s="5"/>
      <c r="X15" s="5"/>
      <c r="Y15" s="5"/>
      <c r="Z15" s="5"/>
      <c r="AA15" s="5"/>
      <c r="AB15" s="5"/>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392" t="s">
        <v>484</v>
      </c>
      <c r="B17" s="392"/>
      <c r="C17" s="392"/>
      <c r="D17" s="392"/>
      <c r="E17" s="392"/>
      <c r="F17" s="392"/>
      <c r="G17" s="392"/>
      <c r="H17" s="392"/>
      <c r="I17" s="392"/>
      <c r="J17" s="392"/>
      <c r="K17" s="392"/>
      <c r="L17" s="392"/>
      <c r="M17" s="392"/>
      <c r="N17" s="392"/>
      <c r="O17" s="392"/>
      <c r="P17" s="392"/>
      <c r="Q17" s="392"/>
      <c r="R17" s="392"/>
      <c r="S17" s="392"/>
      <c r="T17" s="6"/>
      <c r="U17" s="6"/>
      <c r="V17" s="6"/>
      <c r="W17" s="6"/>
      <c r="X17" s="6"/>
      <c r="Y17" s="6"/>
      <c r="Z17" s="6"/>
      <c r="AA17" s="6"/>
      <c r="AB17" s="6"/>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402" t="s">
        <v>3</v>
      </c>
      <c r="B19" s="402" t="s">
        <v>94</v>
      </c>
      <c r="C19" s="403" t="s">
        <v>378</v>
      </c>
      <c r="D19" s="402" t="s">
        <v>377</v>
      </c>
      <c r="E19" s="402" t="s">
        <v>93</v>
      </c>
      <c r="F19" s="402" t="s">
        <v>92</v>
      </c>
      <c r="G19" s="402" t="s">
        <v>373</v>
      </c>
      <c r="H19" s="402" t="s">
        <v>91</v>
      </c>
      <c r="I19" s="402" t="s">
        <v>90</v>
      </c>
      <c r="J19" s="402" t="s">
        <v>89</v>
      </c>
      <c r="K19" s="402" t="s">
        <v>88</v>
      </c>
      <c r="L19" s="402" t="s">
        <v>87</v>
      </c>
      <c r="M19" s="402" t="s">
        <v>86</v>
      </c>
      <c r="N19" s="402" t="s">
        <v>85</v>
      </c>
      <c r="O19" s="402" t="s">
        <v>84</v>
      </c>
      <c r="P19" s="402" t="s">
        <v>83</v>
      </c>
      <c r="Q19" s="402" t="s">
        <v>376</v>
      </c>
      <c r="R19" s="402"/>
      <c r="S19" s="405" t="s">
        <v>478</v>
      </c>
      <c r="T19" s="4"/>
      <c r="U19" s="4"/>
      <c r="V19" s="4"/>
      <c r="W19" s="4"/>
      <c r="X19" s="4"/>
      <c r="Y19" s="4"/>
    </row>
    <row r="20" spans="1:28" s="3" customFormat="1" ht="180.75" customHeight="1" x14ac:dyDescent="0.2">
      <c r="A20" s="402"/>
      <c r="B20" s="402"/>
      <c r="C20" s="404"/>
      <c r="D20" s="402"/>
      <c r="E20" s="402"/>
      <c r="F20" s="402"/>
      <c r="G20" s="402"/>
      <c r="H20" s="402"/>
      <c r="I20" s="402"/>
      <c r="J20" s="402"/>
      <c r="K20" s="402"/>
      <c r="L20" s="402"/>
      <c r="M20" s="402"/>
      <c r="N20" s="402"/>
      <c r="O20" s="402"/>
      <c r="P20" s="402"/>
      <c r="Q20" s="43" t="s">
        <v>374</v>
      </c>
      <c r="R20" s="44" t="s">
        <v>375</v>
      </c>
      <c r="S20" s="405"/>
      <c r="T20" s="29"/>
      <c r="U20" s="29"/>
      <c r="V20" s="29"/>
      <c r="W20" s="29"/>
      <c r="X20" s="29"/>
      <c r="Y20" s="29"/>
      <c r="Z20" s="28"/>
      <c r="AA20" s="28"/>
      <c r="AB20" s="28"/>
    </row>
    <row r="21" spans="1:28" s="3" customFormat="1" ht="18.75" x14ac:dyDescent="0.2">
      <c r="A21" s="43">
        <v>1</v>
      </c>
      <c r="B21" s="48">
        <v>2</v>
      </c>
      <c r="C21" s="43">
        <v>3</v>
      </c>
      <c r="D21" s="48">
        <v>4</v>
      </c>
      <c r="E21" s="43">
        <v>5</v>
      </c>
      <c r="F21" s="48">
        <v>6</v>
      </c>
      <c r="G21" s="159">
        <v>7</v>
      </c>
      <c r="H21" s="160">
        <v>8</v>
      </c>
      <c r="I21" s="159">
        <v>9</v>
      </c>
      <c r="J21" s="160">
        <v>10</v>
      </c>
      <c r="K21" s="159">
        <v>11</v>
      </c>
      <c r="L21" s="160">
        <v>12</v>
      </c>
      <c r="M21" s="159">
        <v>13</v>
      </c>
      <c r="N21" s="160">
        <v>14</v>
      </c>
      <c r="O21" s="159">
        <v>15</v>
      </c>
      <c r="P21" s="160">
        <v>16</v>
      </c>
      <c r="Q21" s="159">
        <v>17</v>
      </c>
      <c r="R21" s="160">
        <v>18</v>
      </c>
      <c r="S21" s="159">
        <v>19</v>
      </c>
      <c r="T21" s="29"/>
      <c r="U21" s="29"/>
      <c r="V21" s="29"/>
      <c r="W21" s="29"/>
      <c r="X21" s="29"/>
      <c r="Y21" s="29"/>
      <c r="Z21" s="28"/>
      <c r="AA21" s="28"/>
      <c r="AB21" s="28"/>
    </row>
    <row r="22" spans="1:28" s="274" customFormat="1" ht="140.25" x14ac:dyDescent="0.25">
      <c r="A22" s="319">
        <v>1</v>
      </c>
      <c r="B22" s="320" t="s">
        <v>677</v>
      </c>
      <c r="C22" s="320"/>
      <c r="D22" s="320" t="s">
        <v>645</v>
      </c>
      <c r="E22" s="320" t="s">
        <v>678</v>
      </c>
      <c r="F22" s="320" t="s">
        <v>679</v>
      </c>
      <c r="G22" s="320" t="s">
        <v>680</v>
      </c>
      <c r="H22" s="321">
        <v>0.3</v>
      </c>
      <c r="I22" s="322">
        <v>0.1</v>
      </c>
      <c r="J22" s="321">
        <v>0.2</v>
      </c>
      <c r="K22" s="320" t="s">
        <v>646</v>
      </c>
      <c r="L22" s="323">
        <v>3</v>
      </c>
      <c r="M22" s="322"/>
      <c r="N22" s="322"/>
      <c r="O22" s="320"/>
      <c r="P22" s="320"/>
      <c r="Q22" s="372" t="s">
        <v>681</v>
      </c>
      <c r="R22" s="373"/>
      <c r="S22" s="341">
        <v>2.6594580400000001</v>
      </c>
      <c r="T22" s="342"/>
      <c r="U22" s="343"/>
      <c r="V22" s="317"/>
      <c r="W22" s="317"/>
      <c r="X22" s="317"/>
      <c r="Y22" s="317"/>
      <c r="Z22" s="317"/>
      <c r="AA22" s="317"/>
      <c r="AB22" s="317"/>
    </row>
    <row r="23" spans="1:28" ht="20.25" customHeight="1" x14ac:dyDescent="0.25">
      <c r="A23" s="126"/>
      <c r="B23" s="48" t="s">
        <v>371</v>
      </c>
      <c r="C23" s="48"/>
      <c r="D23" s="48"/>
      <c r="E23" s="126" t="s">
        <v>372</v>
      </c>
      <c r="F23" s="126" t="s">
        <v>372</v>
      </c>
      <c r="G23" s="126" t="s">
        <v>372</v>
      </c>
      <c r="H23" s="318">
        <f>H22</f>
        <v>0.3</v>
      </c>
      <c r="I23" s="126"/>
      <c r="J23" s="318">
        <f>J22</f>
        <v>0.2</v>
      </c>
      <c r="K23" s="126"/>
      <c r="L23" s="126"/>
      <c r="M23" s="126"/>
      <c r="N23" s="126"/>
      <c r="O23" s="126"/>
      <c r="P23" s="126"/>
      <c r="Q23" s="127"/>
      <c r="R23" s="2"/>
      <c r="S23" s="318">
        <f>S22</f>
        <v>2.6594580400000001</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F26" sqref="F26"/>
    </sheetView>
  </sheetViews>
  <sheetFormatPr defaultColWidth="10.7109375" defaultRowHeight="15.75" x14ac:dyDescent="0.25"/>
  <cols>
    <col min="1" max="1" width="9.5703125" style="51" customWidth="1"/>
    <col min="2" max="3" width="15.5703125" style="51" customWidth="1"/>
    <col min="4" max="4" width="19.42578125" style="51" customWidth="1"/>
    <col min="5" max="5" width="11.140625" style="51" customWidth="1"/>
    <col min="6" max="6" width="18"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0" t="str">
        <f>'1. паспорт местоположение'!A5:C5</f>
        <v>Год раскрытия информации: 2022 год</v>
      </c>
      <c r="B6" s="390"/>
      <c r="C6" s="390"/>
      <c r="D6" s="390"/>
      <c r="E6" s="390"/>
      <c r="F6" s="390"/>
      <c r="G6" s="390"/>
      <c r="H6" s="390"/>
      <c r="I6" s="390"/>
      <c r="J6" s="390"/>
      <c r="K6" s="390"/>
      <c r="L6" s="390"/>
      <c r="M6" s="390"/>
      <c r="N6" s="390"/>
      <c r="O6" s="390"/>
      <c r="P6" s="390"/>
      <c r="Q6" s="390"/>
      <c r="R6" s="390"/>
      <c r="S6" s="390"/>
      <c r="T6" s="390"/>
    </row>
    <row r="7" spans="1:20" s="11" customFormat="1" x14ac:dyDescent="0.2">
      <c r="A7" s="16"/>
      <c r="H7" s="15"/>
    </row>
    <row r="8" spans="1:20" s="11" customFormat="1" ht="18.75" x14ac:dyDescent="0.2">
      <c r="A8" s="394" t="s">
        <v>7</v>
      </c>
      <c r="B8" s="394"/>
      <c r="C8" s="394"/>
      <c r="D8" s="394"/>
      <c r="E8" s="394"/>
      <c r="F8" s="394"/>
      <c r="G8" s="394"/>
      <c r="H8" s="394"/>
      <c r="I8" s="394"/>
      <c r="J8" s="394"/>
      <c r="K8" s="394"/>
      <c r="L8" s="394"/>
      <c r="M8" s="394"/>
      <c r="N8" s="394"/>
      <c r="O8" s="394"/>
      <c r="P8" s="394"/>
      <c r="Q8" s="394"/>
      <c r="R8" s="394"/>
      <c r="S8" s="394"/>
      <c r="T8" s="394"/>
    </row>
    <row r="9" spans="1:20" s="11"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1" customFormat="1" ht="18.75" customHeight="1" x14ac:dyDescent="0.2">
      <c r="A10" s="397" t="str">
        <f>'1. паспорт местоположение'!A9:C9</f>
        <v>Акционерное общество "Янтарьэнерго" ДЗО  ПАО "Россети"</v>
      </c>
      <c r="B10" s="397"/>
      <c r="C10" s="397"/>
      <c r="D10" s="397"/>
      <c r="E10" s="397"/>
      <c r="F10" s="397"/>
      <c r="G10" s="397"/>
      <c r="H10" s="397"/>
      <c r="I10" s="397"/>
      <c r="J10" s="397"/>
      <c r="K10" s="397"/>
      <c r="L10" s="397"/>
      <c r="M10" s="397"/>
      <c r="N10" s="397"/>
      <c r="O10" s="397"/>
      <c r="P10" s="397"/>
      <c r="Q10" s="397"/>
      <c r="R10" s="397"/>
      <c r="S10" s="397"/>
      <c r="T10" s="397"/>
    </row>
    <row r="11" spans="1:20" s="11" customFormat="1" ht="18.75" customHeight="1" x14ac:dyDescent="0.2">
      <c r="A11" s="391" t="s">
        <v>6</v>
      </c>
      <c r="B11" s="391"/>
      <c r="C11" s="391"/>
      <c r="D11" s="391"/>
      <c r="E11" s="391"/>
      <c r="F11" s="391"/>
      <c r="G11" s="391"/>
      <c r="H11" s="391"/>
      <c r="I11" s="391"/>
      <c r="J11" s="391"/>
      <c r="K11" s="391"/>
      <c r="L11" s="391"/>
      <c r="M11" s="391"/>
      <c r="N11" s="391"/>
      <c r="O11" s="391"/>
      <c r="P11" s="391"/>
      <c r="Q11" s="391"/>
      <c r="R11" s="391"/>
      <c r="S11" s="391"/>
      <c r="T11" s="391"/>
    </row>
    <row r="12" spans="1:20" s="11"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1" customFormat="1" ht="18.75" customHeight="1" x14ac:dyDescent="0.2">
      <c r="A13" s="397" t="str">
        <f>'1. паспорт местоположение'!A12:C12</f>
        <v>J_18-1157</v>
      </c>
      <c r="B13" s="397"/>
      <c r="C13" s="397"/>
      <c r="D13" s="397"/>
      <c r="E13" s="397"/>
      <c r="F13" s="397"/>
      <c r="G13" s="397"/>
      <c r="H13" s="397"/>
      <c r="I13" s="397"/>
      <c r="J13" s="397"/>
      <c r="K13" s="397"/>
      <c r="L13" s="397"/>
      <c r="M13" s="397"/>
      <c r="N13" s="397"/>
      <c r="O13" s="397"/>
      <c r="P13" s="397"/>
      <c r="Q13" s="397"/>
      <c r="R13" s="397"/>
      <c r="S13" s="397"/>
      <c r="T13" s="397"/>
    </row>
    <row r="14" spans="1:20" s="11" customFormat="1" ht="18.75" customHeight="1" x14ac:dyDescent="0.2">
      <c r="A14" s="391" t="s">
        <v>5</v>
      </c>
      <c r="B14" s="391"/>
      <c r="C14" s="391"/>
      <c r="D14" s="391"/>
      <c r="E14" s="391"/>
      <c r="F14" s="391"/>
      <c r="G14" s="391"/>
      <c r="H14" s="391"/>
      <c r="I14" s="391"/>
      <c r="J14" s="391"/>
      <c r="K14" s="391"/>
      <c r="L14" s="391"/>
      <c r="M14" s="391"/>
      <c r="N14" s="391"/>
      <c r="O14" s="391"/>
      <c r="P14" s="391"/>
      <c r="Q14" s="391"/>
      <c r="R14" s="391"/>
      <c r="S14" s="391"/>
      <c r="T14" s="391"/>
    </row>
    <row r="15" spans="1:20" s="8"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3" customFormat="1" ht="12" x14ac:dyDescent="0.2">
      <c r="A16" s="397" t="str">
        <f>'1. паспорт местоположение'!A15</f>
        <v>Реконструкция ТП 66 (инв. № 5351233), строительство ЛЭП 0,4 кВ от ТП 66, с установкой СП Нового по ул. Садовой в г. Черняховске</v>
      </c>
      <c r="B16" s="397"/>
      <c r="C16" s="397"/>
      <c r="D16" s="397"/>
      <c r="E16" s="397"/>
      <c r="F16" s="397"/>
      <c r="G16" s="397"/>
      <c r="H16" s="397"/>
      <c r="I16" s="397"/>
      <c r="J16" s="397"/>
      <c r="K16" s="397"/>
      <c r="L16" s="397"/>
      <c r="M16" s="397"/>
      <c r="N16" s="397"/>
      <c r="O16" s="397"/>
      <c r="P16" s="397"/>
      <c r="Q16" s="397"/>
      <c r="R16" s="397"/>
      <c r="S16" s="397"/>
      <c r="T16" s="397"/>
    </row>
    <row r="17" spans="1:113" s="3" customFormat="1" ht="15" customHeight="1" x14ac:dyDescent="0.2">
      <c r="A17" s="391" t="s">
        <v>4</v>
      </c>
      <c r="B17" s="391"/>
      <c r="C17" s="391"/>
      <c r="D17" s="391"/>
      <c r="E17" s="391"/>
      <c r="F17" s="391"/>
      <c r="G17" s="391"/>
      <c r="H17" s="391"/>
      <c r="I17" s="391"/>
      <c r="J17" s="391"/>
      <c r="K17" s="391"/>
      <c r="L17" s="391"/>
      <c r="M17" s="391"/>
      <c r="N17" s="391"/>
      <c r="O17" s="391"/>
      <c r="P17" s="391"/>
      <c r="Q17" s="391"/>
      <c r="R17" s="391"/>
      <c r="S17" s="391"/>
      <c r="T17" s="391"/>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393" t="s">
        <v>489</v>
      </c>
      <c r="B19" s="393"/>
      <c r="C19" s="393"/>
      <c r="D19" s="393"/>
      <c r="E19" s="393"/>
      <c r="F19" s="393"/>
      <c r="G19" s="393"/>
      <c r="H19" s="393"/>
      <c r="I19" s="393"/>
      <c r="J19" s="393"/>
      <c r="K19" s="393"/>
      <c r="L19" s="393"/>
      <c r="M19" s="393"/>
      <c r="N19" s="393"/>
      <c r="O19" s="393"/>
      <c r="P19" s="393"/>
      <c r="Q19" s="393"/>
      <c r="R19" s="393"/>
      <c r="S19" s="393"/>
      <c r="T19" s="393"/>
    </row>
    <row r="20" spans="1:113" s="59"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113" ht="46.5" customHeight="1" x14ac:dyDescent="0.25">
      <c r="A21" s="414" t="s">
        <v>3</v>
      </c>
      <c r="B21" s="417" t="s">
        <v>218</v>
      </c>
      <c r="C21" s="418"/>
      <c r="D21" s="421" t="s">
        <v>116</v>
      </c>
      <c r="E21" s="417" t="s">
        <v>518</v>
      </c>
      <c r="F21" s="418"/>
      <c r="G21" s="417" t="s">
        <v>268</v>
      </c>
      <c r="H21" s="418"/>
      <c r="I21" s="417" t="s">
        <v>115</v>
      </c>
      <c r="J21" s="418"/>
      <c r="K21" s="421" t="s">
        <v>114</v>
      </c>
      <c r="L21" s="417" t="s">
        <v>113</v>
      </c>
      <c r="M21" s="418"/>
      <c r="N21" s="417" t="s">
        <v>514</v>
      </c>
      <c r="O21" s="418"/>
      <c r="P21" s="421" t="s">
        <v>112</v>
      </c>
      <c r="Q21" s="410" t="s">
        <v>111</v>
      </c>
      <c r="R21" s="411"/>
      <c r="S21" s="410" t="s">
        <v>110</v>
      </c>
      <c r="T21" s="412"/>
    </row>
    <row r="22" spans="1:113" ht="204.75" customHeight="1" x14ac:dyDescent="0.25">
      <c r="A22" s="415"/>
      <c r="B22" s="419"/>
      <c r="C22" s="420"/>
      <c r="D22" s="424"/>
      <c r="E22" s="419"/>
      <c r="F22" s="420"/>
      <c r="G22" s="419"/>
      <c r="H22" s="420"/>
      <c r="I22" s="419"/>
      <c r="J22" s="420"/>
      <c r="K22" s="422"/>
      <c r="L22" s="419"/>
      <c r="M22" s="420"/>
      <c r="N22" s="419"/>
      <c r="O22" s="420"/>
      <c r="P22" s="422"/>
      <c r="Q22" s="114" t="s">
        <v>109</v>
      </c>
      <c r="R22" s="114" t="s">
        <v>488</v>
      </c>
      <c r="S22" s="114" t="s">
        <v>108</v>
      </c>
      <c r="T22" s="114" t="s">
        <v>107</v>
      </c>
    </row>
    <row r="23" spans="1:113" ht="51.75" customHeight="1" x14ac:dyDescent="0.25">
      <c r="A23" s="416"/>
      <c r="B23" s="167" t="s">
        <v>105</v>
      </c>
      <c r="C23" s="167" t="s">
        <v>106</v>
      </c>
      <c r="D23" s="422"/>
      <c r="E23" s="167" t="s">
        <v>105</v>
      </c>
      <c r="F23" s="167" t="s">
        <v>106</v>
      </c>
      <c r="G23" s="167" t="s">
        <v>105</v>
      </c>
      <c r="H23" s="167" t="s">
        <v>106</v>
      </c>
      <c r="I23" s="167" t="s">
        <v>105</v>
      </c>
      <c r="J23" s="167" t="s">
        <v>106</v>
      </c>
      <c r="K23" s="167" t="s">
        <v>105</v>
      </c>
      <c r="L23" s="167" t="s">
        <v>105</v>
      </c>
      <c r="M23" s="167" t="s">
        <v>106</v>
      </c>
      <c r="N23" s="167" t="s">
        <v>105</v>
      </c>
      <c r="O23" s="167" t="s">
        <v>106</v>
      </c>
      <c r="P23" s="168" t="s">
        <v>105</v>
      </c>
      <c r="Q23" s="114" t="s">
        <v>105</v>
      </c>
      <c r="R23" s="114" t="s">
        <v>105</v>
      </c>
      <c r="S23" s="114" t="s">
        <v>105</v>
      </c>
      <c r="T23" s="114" t="s">
        <v>105</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9" customFormat="1" ht="47.25" x14ac:dyDescent="0.25">
      <c r="A25" s="408">
        <v>1</v>
      </c>
      <c r="B25" s="406" t="s">
        <v>675</v>
      </c>
      <c r="C25" s="406" t="s">
        <v>675</v>
      </c>
      <c r="D25" s="60" t="s">
        <v>101</v>
      </c>
      <c r="E25" s="60" t="s">
        <v>643</v>
      </c>
      <c r="F25" s="60" t="s">
        <v>701</v>
      </c>
      <c r="G25" s="60" t="s">
        <v>697</v>
      </c>
      <c r="H25" s="60" t="s">
        <v>697</v>
      </c>
      <c r="I25" s="406" t="s">
        <v>641</v>
      </c>
      <c r="J25" s="406" t="s">
        <v>676</v>
      </c>
      <c r="K25" s="406" t="s">
        <v>641</v>
      </c>
      <c r="L25" s="406" t="s">
        <v>56</v>
      </c>
      <c r="M25" s="406" t="s">
        <v>56</v>
      </c>
      <c r="N25" s="406">
        <v>0.4</v>
      </c>
      <c r="O25" s="406">
        <v>0.63</v>
      </c>
      <c r="P25" s="406" t="s">
        <v>372</v>
      </c>
      <c r="Q25" s="406" t="s">
        <v>372</v>
      </c>
      <c r="R25" s="406" t="s">
        <v>372</v>
      </c>
      <c r="S25" s="406" t="s">
        <v>372</v>
      </c>
      <c r="T25" s="406" t="s">
        <v>372</v>
      </c>
    </row>
    <row r="26" spans="1:113" s="59" customFormat="1" ht="31.5" x14ac:dyDescent="0.25">
      <c r="A26" s="409"/>
      <c r="B26" s="407"/>
      <c r="C26" s="407"/>
      <c r="D26" s="60" t="s">
        <v>696</v>
      </c>
      <c r="E26" s="60" t="s">
        <v>695</v>
      </c>
      <c r="F26" s="60" t="s">
        <v>700</v>
      </c>
      <c r="G26" s="60" t="s">
        <v>698</v>
      </c>
      <c r="H26" s="60" t="s">
        <v>699</v>
      </c>
      <c r="I26" s="407"/>
      <c r="J26" s="407"/>
      <c r="K26" s="407"/>
      <c r="L26" s="407"/>
      <c r="M26" s="407"/>
      <c r="N26" s="407"/>
      <c r="O26" s="407"/>
      <c r="P26" s="407"/>
      <c r="Q26" s="407"/>
      <c r="R26" s="407"/>
      <c r="S26" s="407"/>
      <c r="T26" s="407"/>
    </row>
    <row r="27" spans="1:113" s="57" customFormat="1" x14ac:dyDescent="0.2">
      <c r="B27" s="58"/>
      <c r="C27" s="58"/>
      <c r="K27" s="58"/>
      <c r="O27" s="61">
        <f>O25-N25</f>
        <v>0.22999999999999998</v>
      </c>
    </row>
    <row r="28" spans="1:113" s="57" customFormat="1" x14ac:dyDescent="0.25">
      <c r="B28" s="55" t="s">
        <v>104</v>
      </c>
      <c r="C28" s="55"/>
      <c r="D28" s="55"/>
      <c r="E28" s="55"/>
      <c r="F28" s="55"/>
      <c r="G28" s="55"/>
      <c r="H28" s="55"/>
      <c r="I28" s="55"/>
      <c r="J28" s="55"/>
      <c r="K28" s="55"/>
      <c r="L28" s="55"/>
      <c r="M28" s="55"/>
      <c r="N28" s="55"/>
      <c r="O28" s="55"/>
      <c r="P28" s="55"/>
      <c r="Q28" s="55"/>
      <c r="R28" s="55"/>
    </row>
    <row r="29" spans="1:113" x14ac:dyDescent="0.25">
      <c r="B29" s="423" t="s">
        <v>524</v>
      </c>
      <c r="C29" s="423"/>
      <c r="D29" s="423"/>
      <c r="E29" s="423"/>
      <c r="F29" s="423"/>
      <c r="G29" s="423"/>
      <c r="H29" s="423"/>
      <c r="I29" s="423"/>
      <c r="J29" s="423"/>
      <c r="K29" s="423"/>
      <c r="L29" s="423"/>
      <c r="M29" s="423"/>
      <c r="N29" s="423"/>
      <c r="O29" s="423"/>
      <c r="P29" s="423"/>
      <c r="Q29" s="423"/>
      <c r="R29" s="42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487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103</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102</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101</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100</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99</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98</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97</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96</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95</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42">
    <mergeCell ref="B29:R29"/>
    <mergeCell ref="L21:M22"/>
    <mergeCell ref="N21:O22"/>
    <mergeCell ref="P21:P22"/>
    <mergeCell ref="D21:D23"/>
    <mergeCell ref="B21:C22"/>
    <mergeCell ref="K25:K26"/>
    <mergeCell ref="L25:L26"/>
    <mergeCell ref="M25:M26"/>
    <mergeCell ref="N25:N26"/>
    <mergeCell ref="O25:O26"/>
    <mergeCell ref="P25:P26"/>
    <mergeCell ref="Q25:Q26"/>
    <mergeCell ref="R25:R26"/>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S25:S26"/>
    <mergeCell ref="T25:T26"/>
    <mergeCell ref="A25:A26"/>
    <mergeCell ref="B25:B26"/>
    <mergeCell ref="C25:C26"/>
    <mergeCell ref="I25:I26"/>
    <mergeCell ref="J25:J26"/>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1" zoomScale="80" zoomScaleSheetLayoutView="80" workbookViewId="0">
      <selection activeCell="B25" sqref="B25:Z25"/>
    </sheetView>
  </sheetViews>
  <sheetFormatPr defaultColWidth="10.7109375" defaultRowHeight="15.75" x14ac:dyDescent="0.25"/>
  <cols>
    <col min="1" max="2" width="10.7109375" style="51"/>
    <col min="3" max="3" width="23.140625" style="51" customWidth="1"/>
    <col min="4" max="4" width="11.5703125" style="51" customWidth="1"/>
    <col min="5" max="5" width="25.14062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0" t="str">
        <f>'1. паспорт местоположение'!A5:C5</f>
        <v>Год раскрытия информации: 2022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1" customFormat="1" x14ac:dyDescent="0.2">
      <c r="A6" s="170"/>
      <c r="B6" s="170"/>
      <c r="C6" s="170"/>
      <c r="D6" s="170"/>
      <c r="E6" s="170"/>
      <c r="F6" s="170"/>
      <c r="G6" s="170"/>
      <c r="H6" s="170"/>
      <c r="I6" s="170"/>
      <c r="J6" s="170"/>
      <c r="K6" s="170"/>
      <c r="L6" s="170"/>
      <c r="M6" s="170"/>
      <c r="N6" s="170"/>
      <c r="O6" s="170"/>
      <c r="P6" s="170"/>
      <c r="Q6" s="170"/>
      <c r="R6" s="170"/>
      <c r="S6" s="170"/>
      <c r="T6" s="170"/>
    </row>
    <row r="7" spans="1:27" s="11" customFormat="1" ht="18.75" x14ac:dyDescent="0.2">
      <c r="E7" s="394" t="s">
        <v>7</v>
      </c>
      <c r="F7" s="394"/>
      <c r="G7" s="394"/>
      <c r="H7" s="394"/>
      <c r="I7" s="394"/>
      <c r="J7" s="394"/>
      <c r="K7" s="394"/>
      <c r="L7" s="394"/>
      <c r="M7" s="394"/>
      <c r="N7" s="394"/>
      <c r="O7" s="394"/>
      <c r="P7" s="394"/>
      <c r="Q7" s="394"/>
      <c r="R7" s="394"/>
      <c r="S7" s="394"/>
      <c r="T7" s="394"/>
      <c r="U7" s="394"/>
      <c r="V7" s="394"/>
      <c r="W7" s="394"/>
      <c r="X7" s="394"/>
      <c r="Y7" s="39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7" t="str">
        <f>'1. паспорт местоположение'!A9</f>
        <v>Акционерное общество "Янтарьэнерго" ДЗО  ПАО "Россети"</v>
      </c>
      <c r="F9" s="397"/>
      <c r="G9" s="397"/>
      <c r="H9" s="397"/>
      <c r="I9" s="397"/>
      <c r="J9" s="397"/>
      <c r="K9" s="397"/>
      <c r="L9" s="397"/>
      <c r="M9" s="397"/>
      <c r="N9" s="397"/>
      <c r="O9" s="397"/>
      <c r="P9" s="397"/>
      <c r="Q9" s="397"/>
      <c r="R9" s="397"/>
      <c r="S9" s="397"/>
      <c r="T9" s="397"/>
      <c r="U9" s="397"/>
      <c r="V9" s="397"/>
      <c r="W9" s="397"/>
      <c r="X9" s="397"/>
      <c r="Y9" s="397"/>
    </row>
    <row r="10" spans="1:27" s="11" customFormat="1" ht="18.75" customHeight="1" x14ac:dyDescent="0.2">
      <c r="E10" s="391" t="s">
        <v>6</v>
      </c>
      <c r="F10" s="391"/>
      <c r="G10" s="391"/>
      <c r="H10" s="391"/>
      <c r="I10" s="391"/>
      <c r="J10" s="391"/>
      <c r="K10" s="391"/>
      <c r="L10" s="391"/>
      <c r="M10" s="391"/>
      <c r="N10" s="391"/>
      <c r="O10" s="391"/>
      <c r="P10" s="391"/>
      <c r="Q10" s="391"/>
      <c r="R10" s="391"/>
      <c r="S10" s="391"/>
      <c r="T10" s="391"/>
      <c r="U10" s="391"/>
      <c r="V10" s="391"/>
      <c r="W10" s="391"/>
      <c r="X10" s="391"/>
      <c r="Y10" s="39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7" t="str">
        <f>'1. паспорт местоположение'!A12</f>
        <v>J_18-1157</v>
      </c>
      <c r="F12" s="397"/>
      <c r="G12" s="397"/>
      <c r="H12" s="397"/>
      <c r="I12" s="397"/>
      <c r="J12" s="397"/>
      <c r="K12" s="397"/>
      <c r="L12" s="397"/>
      <c r="M12" s="397"/>
      <c r="N12" s="397"/>
      <c r="O12" s="397"/>
      <c r="P12" s="397"/>
      <c r="Q12" s="397"/>
      <c r="R12" s="397"/>
      <c r="S12" s="397"/>
      <c r="T12" s="397"/>
      <c r="U12" s="397"/>
      <c r="V12" s="397"/>
      <c r="W12" s="397"/>
      <c r="X12" s="397"/>
      <c r="Y12" s="397"/>
    </row>
    <row r="13" spans="1:27" s="11" customFormat="1" ht="18.75" customHeight="1" x14ac:dyDescent="0.2">
      <c r="E13" s="391" t="s">
        <v>5</v>
      </c>
      <c r="F13" s="391"/>
      <c r="G13" s="391"/>
      <c r="H13" s="391"/>
      <c r="I13" s="391"/>
      <c r="J13" s="391"/>
      <c r="K13" s="391"/>
      <c r="L13" s="391"/>
      <c r="M13" s="391"/>
      <c r="N13" s="391"/>
      <c r="O13" s="391"/>
      <c r="P13" s="391"/>
      <c r="Q13" s="391"/>
      <c r="R13" s="391"/>
      <c r="S13" s="391"/>
      <c r="T13" s="391"/>
      <c r="U13" s="391"/>
      <c r="V13" s="391"/>
      <c r="W13" s="391"/>
      <c r="X13" s="391"/>
      <c r="Y13" s="39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7" t="str">
        <f>'1. паспорт местоположение'!A15</f>
        <v>Реконструкция ТП 66 (инв. № 5351233), строительство ЛЭП 0,4 кВ от ТП 66, с установкой СП Нового по ул. Садовой в г. Черняховске</v>
      </c>
      <c r="F15" s="397"/>
      <c r="G15" s="397"/>
      <c r="H15" s="397"/>
      <c r="I15" s="397"/>
      <c r="J15" s="397"/>
      <c r="K15" s="397"/>
      <c r="L15" s="397"/>
      <c r="M15" s="397"/>
      <c r="N15" s="397"/>
      <c r="O15" s="397"/>
      <c r="P15" s="397"/>
      <c r="Q15" s="397"/>
      <c r="R15" s="397"/>
      <c r="S15" s="397"/>
      <c r="T15" s="397"/>
      <c r="U15" s="397"/>
      <c r="V15" s="397"/>
      <c r="W15" s="397"/>
      <c r="X15" s="397"/>
      <c r="Y15" s="397"/>
    </row>
    <row r="16" spans="1:27" s="3" customFormat="1" ht="15" customHeight="1" x14ac:dyDescent="0.2">
      <c r="E16" s="391" t="s">
        <v>4</v>
      </c>
      <c r="F16" s="391"/>
      <c r="G16" s="391"/>
      <c r="H16" s="391"/>
      <c r="I16" s="391"/>
      <c r="J16" s="391"/>
      <c r="K16" s="391"/>
      <c r="L16" s="391"/>
      <c r="M16" s="391"/>
      <c r="N16" s="391"/>
      <c r="O16" s="391"/>
      <c r="P16" s="391"/>
      <c r="Q16" s="391"/>
      <c r="R16" s="391"/>
      <c r="S16" s="391"/>
      <c r="T16" s="391"/>
      <c r="U16" s="391"/>
      <c r="V16" s="391"/>
      <c r="W16" s="391"/>
      <c r="X16" s="391"/>
      <c r="Y16" s="39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3"/>
      <c r="F18" s="393"/>
      <c r="G18" s="393"/>
      <c r="H18" s="393"/>
      <c r="I18" s="393"/>
      <c r="J18" s="393"/>
      <c r="K18" s="393"/>
      <c r="L18" s="393"/>
      <c r="M18" s="393"/>
      <c r="N18" s="393"/>
      <c r="O18" s="393"/>
      <c r="P18" s="393"/>
      <c r="Q18" s="393"/>
      <c r="R18" s="393"/>
      <c r="S18" s="393"/>
      <c r="T18" s="393"/>
      <c r="U18" s="393"/>
      <c r="V18" s="393"/>
      <c r="W18" s="393"/>
      <c r="X18" s="393"/>
      <c r="Y18" s="393"/>
    </row>
    <row r="19" spans="1:27" ht="25.5" customHeight="1" x14ac:dyDescent="0.25">
      <c r="A19" s="393" t="s">
        <v>491</v>
      </c>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row>
    <row r="20" spans="1:27" s="59" customFormat="1" ht="21" customHeight="1" x14ac:dyDescent="0.25"/>
    <row r="21" spans="1:27" ht="15.75" customHeight="1" x14ac:dyDescent="0.25">
      <c r="A21" s="425" t="s">
        <v>3</v>
      </c>
      <c r="B21" s="427" t="s">
        <v>498</v>
      </c>
      <c r="C21" s="428"/>
      <c r="D21" s="427" t="s">
        <v>500</v>
      </c>
      <c r="E21" s="428"/>
      <c r="F21" s="410" t="s">
        <v>88</v>
      </c>
      <c r="G21" s="412"/>
      <c r="H21" s="412"/>
      <c r="I21" s="411"/>
      <c r="J21" s="425" t="s">
        <v>501</v>
      </c>
      <c r="K21" s="427" t="s">
        <v>502</v>
      </c>
      <c r="L21" s="428"/>
      <c r="M21" s="427" t="s">
        <v>503</v>
      </c>
      <c r="N21" s="428"/>
      <c r="O21" s="427" t="s">
        <v>490</v>
      </c>
      <c r="P21" s="428"/>
      <c r="Q21" s="427" t="s">
        <v>121</v>
      </c>
      <c r="R21" s="428"/>
      <c r="S21" s="425" t="s">
        <v>120</v>
      </c>
      <c r="T21" s="425" t="s">
        <v>504</v>
      </c>
      <c r="U21" s="425" t="s">
        <v>499</v>
      </c>
      <c r="V21" s="427" t="s">
        <v>119</v>
      </c>
      <c r="W21" s="428"/>
      <c r="X21" s="410" t="s">
        <v>111</v>
      </c>
      <c r="Y21" s="412"/>
      <c r="Z21" s="410" t="s">
        <v>110</v>
      </c>
      <c r="AA21" s="412"/>
    </row>
    <row r="22" spans="1:27" ht="216" customHeight="1" x14ac:dyDescent="0.25">
      <c r="A22" s="431"/>
      <c r="B22" s="429"/>
      <c r="C22" s="430"/>
      <c r="D22" s="429"/>
      <c r="E22" s="430"/>
      <c r="F22" s="410" t="s">
        <v>118</v>
      </c>
      <c r="G22" s="411"/>
      <c r="H22" s="410" t="s">
        <v>117</v>
      </c>
      <c r="I22" s="411"/>
      <c r="J22" s="426"/>
      <c r="K22" s="429"/>
      <c r="L22" s="430"/>
      <c r="M22" s="429"/>
      <c r="N22" s="430"/>
      <c r="O22" s="429"/>
      <c r="P22" s="430"/>
      <c r="Q22" s="429"/>
      <c r="R22" s="430"/>
      <c r="S22" s="426"/>
      <c r="T22" s="426"/>
      <c r="U22" s="426"/>
      <c r="V22" s="429"/>
      <c r="W22" s="430"/>
      <c r="X22" s="114" t="s">
        <v>109</v>
      </c>
      <c r="Y22" s="114" t="s">
        <v>488</v>
      </c>
      <c r="Z22" s="114" t="s">
        <v>108</v>
      </c>
      <c r="AA22" s="114" t="s">
        <v>107</v>
      </c>
    </row>
    <row r="23" spans="1:27" ht="60" customHeight="1" x14ac:dyDescent="0.25">
      <c r="A23" s="426"/>
      <c r="B23" s="165" t="s">
        <v>105</v>
      </c>
      <c r="C23" s="165" t="s">
        <v>106</v>
      </c>
      <c r="D23" s="115" t="s">
        <v>105</v>
      </c>
      <c r="E23" s="115" t="s">
        <v>106</v>
      </c>
      <c r="F23" s="115" t="s">
        <v>105</v>
      </c>
      <c r="G23" s="115" t="s">
        <v>106</v>
      </c>
      <c r="H23" s="115" t="s">
        <v>105</v>
      </c>
      <c r="I23" s="115" t="s">
        <v>106</v>
      </c>
      <c r="J23" s="115" t="s">
        <v>105</v>
      </c>
      <c r="K23" s="115" t="s">
        <v>105</v>
      </c>
      <c r="L23" s="115" t="s">
        <v>106</v>
      </c>
      <c r="M23" s="115" t="s">
        <v>105</v>
      </c>
      <c r="N23" s="115" t="s">
        <v>106</v>
      </c>
      <c r="O23" s="115" t="s">
        <v>105</v>
      </c>
      <c r="P23" s="115" t="s">
        <v>106</v>
      </c>
      <c r="Q23" s="115" t="s">
        <v>105</v>
      </c>
      <c r="R23" s="115" t="s">
        <v>106</v>
      </c>
      <c r="S23" s="115" t="s">
        <v>105</v>
      </c>
      <c r="T23" s="115" t="s">
        <v>105</v>
      </c>
      <c r="U23" s="115" t="s">
        <v>105</v>
      </c>
      <c r="V23" s="115" t="s">
        <v>105</v>
      </c>
      <c r="W23" s="115" t="s">
        <v>106</v>
      </c>
      <c r="X23" s="115" t="s">
        <v>105</v>
      </c>
      <c r="Y23" s="115" t="s">
        <v>105</v>
      </c>
      <c r="Z23" s="114" t="s">
        <v>105</v>
      </c>
      <c r="AA23" s="114" t="s">
        <v>105</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x14ac:dyDescent="0.25">
      <c r="A25" s="62">
        <v>1</v>
      </c>
      <c r="B25" s="62" t="s">
        <v>372</v>
      </c>
      <c r="C25" s="62" t="s">
        <v>372</v>
      </c>
      <c r="D25" s="62" t="s">
        <v>372</v>
      </c>
      <c r="E25" s="62" t="s">
        <v>372</v>
      </c>
      <c r="F25" s="62" t="s">
        <v>372</v>
      </c>
      <c r="G25" s="62" t="s">
        <v>372</v>
      </c>
      <c r="H25" s="62" t="s">
        <v>372</v>
      </c>
      <c r="I25" s="62" t="s">
        <v>372</v>
      </c>
      <c r="J25" s="62" t="s">
        <v>372</v>
      </c>
      <c r="K25" s="62" t="s">
        <v>372</v>
      </c>
      <c r="L25" s="62" t="s">
        <v>372</v>
      </c>
      <c r="M25" s="62" t="s">
        <v>372</v>
      </c>
      <c r="N25" s="62" t="s">
        <v>372</v>
      </c>
      <c r="O25" s="62" t="s">
        <v>372</v>
      </c>
      <c r="P25" s="62" t="s">
        <v>372</v>
      </c>
      <c r="Q25" s="62" t="s">
        <v>372</v>
      </c>
      <c r="R25" s="62" t="s">
        <v>372</v>
      </c>
      <c r="S25" s="62" t="s">
        <v>372</v>
      </c>
      <c r="T25" s="62" t="s">
        <v>372</v>
      </c>
      <c r="U25" s="62" t="s">
        <v>372</v>
      </c>
      <c r="V25" s="62" t="s">
        <v>372</v>
      </c>
      <c r="W25" s="62" t="s">
        <v>372</v>
      </c>
      <c r="X25" s="62" t="s">
        <v>372</v>
      </c>
      <c r="Y25" s="62" t="s">
        <v>372</v>
      </c>
      <c r="Z25" s="62" t="s">
        <v>372</v>
      </c>
      <c r="AA25" s="62" t="s">
        <v>372</v>
      </c>
    </row>
    <row r="26" spans="1:27" ht="3" customHeight="1" x14ac:dyDescent="0.25">
      <c r="R26" s="51">
        <f>SUM(R25:R25)</f>
        <v>0</v>
      </c>
      <c r="X26" s="116"/>
      <c r="Y26" s="117"/>
      <c r="Z26" s="52"/>
      <c r="AA26" s="52"/>
    </row>
    <row r="27" spans="1:27" s="57" customFormat="1" ht="12.75" x14ac:dyDescent="0.2">
      <c r="A27" s="58"/>
      <c r="B27" s="58"/>
      <c r="C27" s="58"/>
      <c r="E27" s="58"/>
      <c r="X27" s="118"/>
      <c r="Y27" s="118"/>
      <c r="Z27" s="118"/>
      <c r="AA27" s="118"/>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0" t="str">
        <f>'1. паспорт местоположение'!A5:C5</f>
        <v>Год раскрытия информации: 2022 год</v>
      </c>
      <c r="B5" s="390"/>
      <c r="C5" s="390"/>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1" customFormat="1" ht="18.75" x14ac:dyDescent="0.3">
      <c r="A6" s="16"/>
      <c r="E6" s="15"/>
      <c r="F6" s="15"/>
      <c r="G6" s="14"/>
    </row>
    <row r="7" spans="1:29" s="11" customFormat="1" ht="18.75" x14ac:dyDescent="0.2">
      <c r="A7" s="394" t="s">
        <v>7</v>
      </c>
      <c r="B7" s="394"/>
      <c r="C7" s="394"/>
      <c r="D7" s="12"/>
      <c r="E7" s="12"/>
      <c r="F7" s="12"/>
      <c r="G7" s="12"/>
      <c r="H7" s="12"/>
      <c r="I7" s="12"/>
      <c r="J7" s="12"/>
      <c r="K7" s="12"/>
      <c r="L7" s="12"/>
      <c r="M7" s="12"/>
      <c r="N7" s="12"/>
      <c r="O7" s="12"/>
      <c r="P7" s="12"/>
      <c r="Q7" s="12"/>
      <c r="R7" s="12"/>
      <c r="S7" s="12"/>
      <c r="T7" s="12"/>
      <c r="U7" s="12"/>
    </row>
    <row r="8" spans="1:29" s="11" customFormat="1" ht="18.75" x14ac:dyDescent="0.2">
      <c r="A8" s="394"/>
      <c r="B8" s="394"/>
      <c r="C8" s="394"/>
      <c r="D8" s="13"/>
      <c r="E8" s="13"/>
      <c r="F8" s="13"/>
      <c r="G8" s="13"/>
      <c r="H8" s="12"/>
      <c r="I8" s="12"/>
      <c r="J8" s="12"/>
      <c r="K8" s="12"/>
      <c r="L8" s="12"/>
      <c r="M8" s="12"/>
      <c r="N8" s="12"/>
      <c r="O8" s="12"/>
      <c r="P8" s="12"/>
      <c r="Q8" s="12"/>
      <c r="R8" s="12"/>
      <c r="S8" s="12"/>
      <c r="T8" s="12"/>
      <c r="U8" s="12"/>
    </row>
    <row r="9" spans="1:29" s="11" customFormat="1" ht="18.75" x14ac:dyDescent="0.2">
      <c r="A9" s="397" t="str">
        <f>'1. паспорт местоположение'!A9:C9</f>
        <v>Акционерное общество "Янтарьэнерго" ДЗО  ПАО "Россети"</v>
      </c>
      <c r="B9" s="397"/>
      <c r="C9" s="397"/>
      <c r="D9" s="7"/>
      <c r="E9" s="7"/>
      <c r="F9" s="7"/>
      <c r="G9" s="7"/>
      <c r="H9" s="12"/>
      <c r="I9" s="12"/>
      <c r="J9" s="12"/>
      <c r="K9" s="12"/>
      <c r="L9" s="12"/>
      <c r="M9" s="12"/>
      <c r="N9" s="12"/>
      <c r="O9" s="12"/>
      <c r="P9" s="12"/>
      <c r="Q9" s="12"/>
      <c r="R9" s="12"/>
      <c r="S9" s="12"/>
      <c r="T9" s="12"/>
      <c r="U9" s="12"/>
    </row>
    <row r="10" spans="1:29" s="11" customFormat="1" ht="18.75" x14ac:dyDescent="0.2">
      <c r="A10" s="391" t="s">
        <v>6</v>
      </c>
      <c r="B10" s="391"/>
      <c r="C10" s="391"/>
      <c r="D10" s="5"/>
      <c r="E10" s="5"/>
      <c r="F10" s="5"/>
      <c r="G10" s="5"/>
      <c r="H10" s="12"/>
      <c r="I10" s="12"/>
      <c r="J10" s="12"/>
      <c r="K10" s="12"/>
      <c r="L10" s="12"/>
      <c r="M10" s="12"/>
      <c r="N10" s="12"/>
      <c r="O10" s="12"/>
      <c r="P10" s="12"/>
      <c r="Q10" s="12"/>
      <c r="R10" s="12"/>
      <c r="S10" s="12"/>
      <c r="T10" s="12"/>
      <c r="U10" s="12"/>
    </row>
    <row r="11" spans="1:29" s="11" customFormat="1" ht="18.75" x14ac:dyDescent="0.2">
      <c r="A11" s="394"/>
      <c r="B11" s="394"/>
      <c r="C11" s="394"/>
      <c r="D11" s="13"/>
      <c r="E11" s="13"/>
      <c r="F11" s="13"/>
      <c r="G11" s="13"/>
      <c r="H11" s="12"/>
      <c r="I11" s="12"/>
      <c r="J11" s="12"/>
      <c r="K11" s="12"/>
      <c r="L11" s="12"/>
      <c r="M11" s="12"/>
      <c r="N11" s="12"/>
      <c r="O11" s="12"/>
      <c r="P11" s="12"/>
      <c r="Q11" s="12"/>
      <c r="R11" s="12"/>
      <c r="S11" s="12"/>
      <c r="T11" s="12"/>
      <c r="U11" s="12"/>
    </row>
    <row r="12" spans="1:29" s="11" customFormat="1" ht="18.75" x14ac:dyDescent="0.2">
      <c r="A12" s="397" t="str">
        <f>'1. паспорт местоположение'!A12:C12</f>
        <v>J_18-1157</v>
      </c>
      <c r="B12" s="397"/>
      <c r="C12" s="397"/>
      <c r="D12" s="7"/>
      <c r="E12" s="7"/>
      <c r="F12" s="7"/>
      <c r="G12" s="7"/>
      <c r="H12" s="12"/>
      <c r="I12" s="12"/>
      <c r="J12" s="12"/>
      <c r="K12" s="12"/>
      <c r="L12" s="12"/>
      <c r="M12" s="12"/>
      <c r="N12" s="12"/>
      <c r="O12" s="12"/>
      <c r="P12" s="12"/>
      <c r="Q12" s="12"/>
      <c r="R12" s="12"/>
      <c r="S12" s="12"/>
      <c r="T12" s="12"/>
      <c r="U12" s="12"/>
    </row>
    <row r="13" spans="1:29" s="11" customFormat="1" ht="18.75" x14ac:dyDescent="0.2">
      <c r="A13" s="391" t="s">
        <v>5</v>
      </c>
      <c r="B13" s="391"/>
      <c r="C13" s="39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1"/>
      <c r="B14" s="401"/>
      <c r="C14" s="401"/>
      <c r="D14" s="9"/>
      <c r="E14" s="9"/>
      <c r="F14" s="9"/>
      <c r="G14" s="9"/>
      <c r="H14" s="9"/>
      <c r="I14" s="9"/>
      <c r="J14" s="9"/>
      <c r="K14" s="9"/>
      <c r="L14" s="9"/>
      <c r="M14" s="9"/>
      <c r="N14" s="9"/>
      <c r="O14" s="9"/>
      <c r="P14" s="9"/>
      <c r="Q14" s="9"/>
      <c r="R14" s="9"/>
      <c r="S14" s="9"/>
      <c r="T14" s="9"/>
      <c r="U14" s="9"/>
    </row>
    <row r="15" spans="1:29" s="3" customFormat="1" ht="12" x14ac:dyDescent="0.2">
      <c r="A15" s="397" t="str">
        <f>'1. паспорт местоположение'!A15</f>
        <v>Реконструкция ТП 66 (инв. № 5351233), строительство ЛЭП 0,4 кВ от ТП 66, с установкой СП Нового по ул. Садовой в г. Черняховске</v>
      </c>
      <c r="B15" s="397"/>
      <c r="C15" s="397"/>
      <c r="D15" s="7"/>
      <c r="E15" s="7"/>
      <c r="F15" s="7"/>
      <c r="G15" s="7"/>
      <c r="H15" s="7"/>
      <c r="I15" s="7"/>
      <c r="J15" s="7"/>
      <c r="K15" s="7"/>
      <c r="L15" s="7"/>
      <c r="M15" s="7"/>
      <c r="N15" s="7"/>
      <c r="O15" s="7"/>
      <c r="P15" s="7"/>
      <c r="Q15" s="7"/>
      <c r="R15" s="7"/>
      <c r="S15" s="7"/>
      <c r="T15" s="7"/>
      <c r="U15" s="7"/>
    </row>
    <row r="16" spans="1:29" s="3" customFormat="1" ht="15" customHeight="1" x14ac:dyDescent="0.2">
      <c r="A16" s="391" t="s">
        <v>4</v>
      </c>
      <c r="B16" s="391"/>
      <c r="C16" s="391"/>
      <c r="D16" s="5"/>
      <c r="E16" s="5"/>
      <c r="F16" s="5"/>
      <c r="G16" s="5"/>
      <c r="H16" s="5"/>
      <c r="I16" s="5"/>
      <c r="J16" s="5"/>
      <c r="K16" s="5"/>
      <c r="L16" s="5"/>
      <c r="M16" s="5"/>
      <c r="N16" s="5"/>
      <c r="O16" s="5"/>
      <c r="P16" s="5"/>
      <c r="Q16" s="5"/>
      <c r="R16" s="5"/>
      <c r="S16" s="5"/>
      <c r="T16" s="5"/>
      <c r="U16" s="5"/>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392" t="s">
        <v>483</v>
      </c>
      <c r="B18" s="392"/>
      <c r="C18" s="39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3</v>
      </c>
      <c r="B20" s="39" t="s">
        <v>64</v>
      </c>
      <c r="C20" s="38" t="s">
        <v>63</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33.75" customHeight="1" x14ac:dyDescent="0.2">
      <c r="A22" s="25" t="s">
        <v>62</v>
      </c>
      <c r="B22" s="31" t="s">
        <v>496</v>
      </c>
      <c r="C22" s="339" t="s">
        <v>644</v>
      </c>
      <c r="D22" s="30"/>
      <c r="E22" s="30"/>
      <c r="F22" s="29"/>
      <c r="G22" s="29"/>
      <c r="H22" s="29"/>
      <c r="I22" s="29"/>
      <c r="J22" s="29"/>
      <c r="K22" s="29"/>
      <c r="L22" s="29"/>
      <c r="M22" s="29"/>
      <c r="N22" s="29"/>
      <c r="O22" s="29"/>
      <c r="P22" s="29"/>
      <c r="Q22" s="28"/>
      <c r="R22" s="28"/>
      <c r="S22" s="28"/>
      <c r="T22" s="28"/>
      <c r="U22" s="28"/>
    </row>
    <row r="23" spans="1:21" ht="42.75" customHeight="1" x14ac:dyDescent="0.25">
      <c r="A23" s="25" t="s">
        <v>61</v>
      </c>
      <c r="B23" s="27" t="s">
        <v>58</v>
      </c>
      <c r="C23" s="350"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0.2 МВт</v>
      </c>
      <c r="D23" s="24"/>
      <c r="E23" s="24"/>
      <c r="F23" s="24"/>
      <c r="G23" s="24"/>
      <c r="H23" s="24"/>
      <c r="I23" s="24"/>
      <c r="J23" s="24"/>
      <c r="K23" s="24"/>
      <c r="L23" s="24"/>
      <c r="M23" s="24"/>
      <c r="N23" s="24"/>
      <c r="O23" s="24"/>
      <c r="P23" s="24"/>
      <c r="Q23" s="24"/>
      <c r="R23" s="24"/>
      <c r="S23" s="24"/>
      <c r="T23" s="24"/>
      <c r="U23" s="24"/>
    </row>
    <row r="24" spans="1:21" ht="63" customHeight="1" x14ac:dyDescent="0.25">
      <c r="A24" s="25" t="s">
        <v>60</v>
      </c>
      <c r="B24" s="27" t="s">
        <v>516</v>
      </c>
      <c r="C24" s="26" t="s">
        <v>702</v>
      </c>
      <c r="D24" s="24"/>
      <c r="E24" s="24"/>
      <c r="F24" s="24"/>
      <c r="G24" s="24"/>
      <c r="H24" s="24"/>
      <c r="I24" s="24"/>
      <c r="J24" s="24"/>
      <c r="K24" s="24"/>
      <c r="L24" s="24"/>
      <c r="M24" s="24"/>
      <c r="N24" s="24"/>
      <c r="O24" s="24"/>
      <c r="P24" s="24"/>
      <c r="Q24" s="24"/>
      <c r="R24" s="24"/>
      <c r="S24" s="24"/>
      <c r="T24" s="24"/>
      <c r="U24" s="24"/>
    </row>
    <row r="25" spans="1:21" ht="63" customHeight="1" x14ac:dyDescent="0.25">
      <c r="A25" s="25" t="s">
        <v>59</v>
      </c>
      <c r="B25" s="27" t="s">
        <v>517</v>
      </c>
      <c r="C25" s="26" t="s">
        <v>703</v>
      </c>
      <c r="D25" s="24"/>
      <c r="E25" s="24"/>
      <c r="F25" s="24"/>
      <c r="G25" s="24"/>
      <c r="H25" s="24"/>
      <c r="I25" s="24"/>
      <c r="J25" s="24"/>
      <c r="K25" s="24"/>
      <c r="L25" s="24"/>
      <c r="M25" s="24"/>
      <c r="N25" s="24"/>
      <c r="O25" s="24"/>
      <c r="P25" s="24"/>
      <c r="Q25" s="24"/>
      <c r="R25" s="24"/>
      <c r="S25" s="24"/>
      <c r="T25" s="24"/>
      <c r="U25" s="24"/>
    </row>
    <row r="26" spans="1:21" ht="42.75" customHeight="1" x14ac:dyDescent="0.25">
      <c r="A26" s="25" t="s">
        <v>57</v>
      </c>
      <c r="B26" s="27" t="s">
        <v>226</v>
      </c>
      <c r="C26" s="26" t="s">
        <v>647</v>
      </c>
      <c r="D26" s="24"/>
      <c r="E26" s="24"/>
      <c r="F26" s="24"/>
      <c r="G26" s="24"/>
      <c r="H26" s="24"/>
      <c r="I26" s="24"/>
      <c r="J26" s="24"/>
      <c r="K26" s="24"/>
      <c r="L26" s="24"/>
      <c r="M26" s="24"/>
      <c r="N26" s="24"/>
      <c r="O26" s="24"/>
      <c r="P26" s="24"/>
      <c r="Q26" s="24"/>
      <c r="R26" s="24"/>
      <c r="S26" s="24"/>
      <c r="T26" s="24"/>
      <c r="U26" s="24"/>
    </row>
    <row r="27" spans="1:21" ht="42.75" customHeight="1" x14ac:dyDescent="0.25">
      <c r="A27" s="25" t="s">
        <v>56</v>
      </c>
      <c r="B27" s="27" t="s">
        <v>497</v>
      </c>
      <c r="C27" s="26"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№6913/10/18 от 19.11.2018; Постановление Правительства Российской Федерации от 27 декабря 2004 г. № 861</v>
      </c>
      <c r="D27" s="24"/>
      <c r="E27" s="24"/>
      <c r="F27" s="24"/>
      <c r="G27" s="24"/>
      <c r="H27" s="24"/>
      <c r="I27" s="24"/>
      <c r="J27" s="24"/>
      <c r="K27" s="24"/>
      <c r="L27" s="24"/>
      <c r="M27" s="24"/>
      <c r="N27" s="24"/>
      <c r="O27" s="24"/>
      <c r="P27" s="24"/>
      <c r="Q27" s="24"/>
      <c r="R27" s="24"/>
      <c r="S27" s="24"/>
      <c r="T27" s="24"/>
      <c r="U27" s="24"/>
    </row>
    <row r="28" spans="1:21" ht="42.75" customHeight="1" x14ac:dyDescent="0.25">
      <c r="A28" s="25" t="s">
        <v>54</v>
      </c>
      <c r="B28" s="27" t="s">
        <v>55</v>
      </c>
      <c r="C28" s="41">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52</v>
      </c>
      <c r="B29" s="26" t="s">
        <v>53</v>
      </c>
      <c r="C29" s="41">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70</v>
      </c>
      <c r="B30" s="26" t="s">
        <v>51</v>
      </c>
      <c r="C30" s="26" t="s">
        <v>724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66</v>
      </c>
    </row>
    <row r="2" spans="1:28" ht="18.75" x14ac:dyDescent="0.3">
      <c r="Z2" s="14" t="s">
        <v>8</v>
      </c>
    </row>
    <row r="3" spans="1:28" ht="18.75" x14ac:dyDescent="0.3">
      <c r="Z3" s="14" t="s">
        <v>65</v>
      </c>
    </row>
    <row r="4" spans="1:28" ht="18.75" customHeight="1" x14ac:dyDescent="0.25">
      <c r="A4" s="390" t="str">
        <f>'1. паспорт местоположение'!A5:C5</f>
        <v>Год раскрытия информации: 2022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394" t="s">
        <v>7</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62"/>
      <c r="AB6" s="162"/>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62"/>
      <c r="AB7" s="162"/>
    </row>
    <row r="8" spans="1:28" x14ac:dyDescent="0.25">
      <c r="A8" s="397" t="str">
        <f>'1. паспорт местоположение'!A9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63"/>
      <c r="AB8" s="163"/>
    </row>
    <row r="9" spans="1:28" ht="15.75" x14ac:dyDescent="0.25">
      <c r="A9" s="391" t="s">
        <v>6</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164"/>
      <c r="AB9" s="164"/>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62"/>
      <c r="AB10" s="162"/>
    </row>
    <row r="11" spans="1:28" x14ac:dyDescent="0.25">
      <c r="A11" s="397" t="str">
        <f>'1. паспорт местоположение'!A12:C12</f>
        <v>J_18-1157</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63"/>
      <c r="AB11" s="163"/>
    </row>
    <row r="12" spans="1:28" ht="15.75" x14ac:dyDescent="0.25">
      <c r="A12" s="391" t="s">
        <v>5</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164"/>
      <c r="AB12" s="164"/>
    </row>
    <row r="13" spans="1:28"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10"/>
      <c r="AB13" s="10"/>
    </row>
    <row r="14" spans="1:28" x14ac:dyDescent="0.25">
      <c r="A14" s="397" t="str">
        <f>'1. паспорт местоположение'!A15</f>
        <v>Реконструкция ТП 66 (инв. № 5351233), строительство ЛЭП 0,4 кВ от ТП 66, с установкой СП Нового по ул. Садовой в г. Черняховске</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63"/>
      <c r="AB14" s="163"/>
    </row>
    <row r="15" spans="1:28" ht="15.75" x14ac:dyDescent="0.25">
      <c r="A15" s="391" t="s">
        <v>4</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164"/>
      <c r="AB15" s="164"/>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72"/>
      <c r="AB16" s="172"/>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72"/>
      <c r="AB17" s="172"/>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72"/>
      <c r="AB18" s="172"/>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72"/>
      <c r="AB19" s="172"/>
    </row>
    <row r="20" spans="1:28"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173"/>
      <c r="AB20" s="173"/>
    </row>
    <row r="21" spans="1:28" x14ac:dyDescent="0.25">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73"/>
      <c r="AB21" s="173"/>
    </row>
    <row r="22" spans="1:28" x14ac:dyDescent="0.25">
      <c r="A22" s="434" t="s">
        <v>515</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174"/>
      <c r="AB22" s="174"/>
    </row>
    <row r="23" spans="1:28" ht="32.25" customHeight="1" x14ac:dyDescent="0.25">
      <c r="A23" s="436" t="s">
        <v>369</v>
      </c>
      <c r="B23" s="437"/>
      <c r="C23" s="437"/>
      <c r="D23" s="437"/>
      <c r="E23" s="437"/>
      <c r="F23" s="437"/>
      <c r="G23" s="437"/>
      <c r="H23" s="437"/>
      <c r="I23" s="437"/>
      <c r="J23" s="437"/>
      <c r="K23" s="437"/>
      <c r="L23" s="438"/>
      <c r="M23" s="435" t="s">
        <v>370</v>
      </c>
      <c r="N23" s="435"/>
      <c r="O23" s="435"/>
      <c r="P23" s="435"/>
      <c r="Q23" s="435"/>
      <c r="R23" s="435"/>
      <c r="S23" s="435"/>
      <c r="T23" s="435"/>
      <c r="U23" s="435"/>
      <c r="V23" s="435"/>
      <c r="W23" s="435"/>
      <c r="X23" s="435"/>
      <c r="Y23" s="435"/>
      <c r="Z23" s="435"/>
    </row>
    <row r="24" spans="1:28" ht="151.5" customHeight="1" x14ac:dyDescent="0.25">
      <c r="A24" s="111" t="s">
        <v>228</v>
      </c>
      <c r="B24" s="112" t="s">
        <v>257</v>
      </c>
      <c r="C24" s="111" t="s">
        <v>363</v>
      </c>
      <c r="D24" s="111" t="s">
        <v>229</v>
      </c>
      <c r="E24" s="111" t="s">
        <v>364</v>
      </c>
      <c r="F24" s="111" t="s">
        <v>366</v>
      </c>
      <c r="G24" s="111" t="s">
        <v>365</v>
      </c>
      <c r="H24" s="111" t="s">
        <v>230</v>
      </c>
      <c r="I24" s="111" t="s">
        <v>367</v>
      </c>
      <c r="J24" s="111" t="s">
        <v>262</v>
      </c>
      <c r="K24" s="112" t="s">
        <v>256</v>
      </c>
      <c r="L24" s="112" t="s">
        <v>231</v>
      </c>
      <c r="M24" s="113" t="s">
        <v>276</v>
      </c>
      <c r="N24" s="112" t="s">
        <v>526</v>
      </c>
      <c r="O24" s="111" t="s">
        <v>273</v>
      </c>
      <c r="P24" s="111" t="s">
        <v>274</v>
      </c>
      <c r="Q24" s="111" t="s">
        <v>272</v>
      </c>
      <c r="R24" s="111" t="s">
        <v>230</v>
      </c>
      <c r="S24" s="111" t="s">
        <v>271</v>
      </c>
      <c r="T24" s="111" t="s">
        <v>270</v>
      </c>
      <c r="U24" s="111" t="s">
        <v>362</v>
      </c>
      <c r="V24" s="111" t="s">
        <v>272</v>
      </c>
      <c r="W24" s="120" t="s">
        <v>255</v>
      </c>
      <c r="X24" s="120" t="s">
        <v>287</v>
      </c>
      <c r="Y24" s="120" t="s">
        <v>288</v>
      </c>
      <c r="Z24" s="122" t="s">
        <v>285</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347</v>
      </c>
      <c r="B26" s="110"/>
      <c r="C26" s="106" t="s">
        <v>349</v>
      </c>
      <c r="D26" s="106" t="s">
        <v>350</v>
      </c>
      <c r="E26" s="106" t="s">
        <v>351</v>
      </c>
      <c r="F26" s="106" t="s">
        <v>267</v>
      </c>
      <c r="G26" s="106" t="s">
        <v>352</v>
      </c>
      <c r="H26" s="106" t="s">
        <v>230</v>
      </c>
      <c r="I26" s="106" t="s">
        <v>353</v>
      </c>
      <c r="J26" s="106" t="s">
        <v>354</v>
      </c>
      <c r="K26" s="103"/>
      <c r="L26" s="107" t="s">
        <v>253</v>
      </c>
      <c r="M26" s="109" t="s">
        <v>269</v>
      </c>
      <c r="N26" s="103"/>
      <c r="O26" s="103"/>
      <c r="P26" s="103"/>
      <c r="Q26" s="103"/>
      <c r="R26" s="103"/>
      <c r="S26" s="103"/>
      <c r="T26" s="103"/>
      <c r="U26" s="103"/>
      <c r="V26" s="103"/>
      <c r="W26" s="103"/>
      <c r="X26" s="103"/>
      <c r="Y26" s="103"/>
      <c r="Z26" s="105" t="s">
        <v>286</v>
      </c>
    </row>
    <row r="27" spans="1:28" x14ac:dyDescent="0.25">
      <c r="A27" s="103" t="s">
        <v>232</v>
      </c>
      <c r="B27" s="103" t="s">
        <v>258</v>
      </c>
      <c r="C27" s="103" t="s">
        <v>237</v>
      </c>
      <c r="D27" s="103" t="s">
        <v>238</v>
      </c>
      <c r="E27" s="103" t="s">
        <v>277</v>
      </c>
      <c r="F27" s="106" t="s">
        <v>233</v>
      </c>
      <c r="G27" s="106" t="s">
        <v>281</v>
      </c>
      <c r="H27" s="103" t="s">
        <v>230</v>
      </c>
      <c r="I27" s="106" t="s">
        <v>263</v>
      </c>
      <c r="J27" s="106" t="s">
        <v>245</v>
      </c>
      <c r="K27" s="107" t="s">
        <v>249</v>
      </c>
      <c r="L27" s="103"/>
      <c r="M27" s="107" t="s">
        <v>275</v>
      </c>
      <c r="N27" s="103"/>
      <c r="O27" s="103"/>
      <c r="P27" s="103"/>
      <c r="Q27" s="103"/>
      <c r="R27" s="103"/>
      <c r="S27" s="103"/>
      <c r="T27" s="103"/>
      <c r="U27" s="103"/>
      <c r="V27" s="103"/>
      <c r="W27" s="103"/>
      <c r="X27" s="103"/>
      <c r="Y27" s="103"/>
      <c r="Z27" s="103"/>
    </row>
    <row r="28" spans="1:28" x14ac:dyDescent="0.25">
      <c r="A28" s="103" t="s">
        <v>232</v>
      </c>
      <c r="B28" s="103" t="s">
        <v>259</v>
      </c>
      <c r="C28" s="103" t="s">
        <v>239</v>
      </c>
      <c r="D28" s="103" t="s">
        <v>240</v>
      </c>
      <c r="E28" s="103" t="s">
        <v>278</v>
      </c>
      <c r="F28" s="106" t="s">
        <v>234</v>
      </c>
      <c r="G28" s="106" t="s">
        <v>282</v>
      </c>
      <c r="H28" s="103" t="s">
        <v>230</v>
      </c>
      <c r="I28" s="106" t="s">
        <v>264</v>
      </c>
      <c r="J28" s="106" t="s">
        <v>246</v>
      </c>
      <c r="K28" s="107" t="s">
        <v>250</v>
      </c>
      <c r="L28" s="108"/>
      <c r="M28" s="107" t="s">
        <v>0</v>
      </c>
      <c r="N28" s="107"/>
      <c r="O28" s="107"/>
      <c r="P28" s="107"/>
      <c r="Q28" s="107"/>
      <c r="R28" s="107"/>
      <c r="S28" s="107"/>
      <c r="T28" s="107"/>
      <c r="U28" s="107"/>
      <c r="V28" s="107"/>
      <c r="W28" s="107"/>
      <c r="X28" s="107"/>
      <c r="Y28" s="107"/>
      <c r="Z28" s="107"/>
    </row>
    <row r="29" spans="1:28" x14ac:dyDescent="0.25">
      <c r="A29" s="103" t="s">
        <v>232</v>
      </c>
      <c r="B29" s="103" t="s">
        <v>260</v>
      </c>
      <c r="C29" s="103" t="s">
        <v>241</v>
      </c>
      <c r="D29" s="103" t="s">
        <v>242</v>
      </c>
      <c r="E29" s="103" t="s">
        <v>279</v>
      </c>
      <c r="F29" s="106" t="s">
        <v>235</v>
      </c>
      <c r="G29" s="106" t="s">
        <v>283</v>
      </c>
      <c r="H29" s="103" t="s">
        <v>230</v>
      </c>
      <c r="I29" s="106" t="s">
        <v>265</v>
      </c>
      <c r="J29" s="106" t="s">
        <v>247</v>
      </c>
      <c r="K29" s="107" t="s">
        <v>251</v>
      </c>
      <c r="L29" s="108"/>
      <c r="M29" s="103"/>
      <c r="N29" s="103"/>
      <c r="O29" s="103"/>
      <c r="P29" s="103"/>
      <c r="Q29" s="103"/>
      <c r="R29" s="103"/>
      <c r="S29" s="103"/>
      <c r="T29" s="103"/>
      <c r="U29" s="103"/>
      <c r="V29" s="103"/>
      <c r="W29" s="103"/>
      <c r="X29" s="103"/>
      <c r="Y29" s="103"/>
      <c r="Z29" s="103"/>
    </row>
    <row r="30" spans="1:28" x14ac:dyDescent="0.25">
      <c r="A30" s="103" t="s">
        <v>232</v>
      </c>
      <c r="B30" s="103" t="s">
        <v>261</v>
      </c>
      <c r="C30" s="103" t="s">
        <v>243</v>
      </c>
      <c r="D30" s="103" t="s">
        <v>244</v>
      </c>
      <c r="E30" s="103" t="s">
        <v>280</v>
      </c>
      <c r="F30" s="106" t="s">
        <v>236</v>
      </c>
      <c r="G30" s="106" t="s">
        <v>284</v>
      </c>
      <c r="H30" s="103" t="s">
        <v>230</v>
      </c>
      <c r="I30" s="106" t="s">
        <v>266</v>
      </c>
      <c r="J30" s="106" t="s">
        <v>248</v>
      </c>
      <c r="K30" s="107" t="s">
        <v>252</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348</v>
      </c>
      <c r="B32" s="110"/>
      <c r="C32" s="106" t="s">
        <v>355</v>
      </c>
      <c r="D32" s="106" t="s">
        <v>356</v>
      </c>
      <c r="E32" s="106" t="s">
        <v>357</v>
      </c>
      <c r="F32" s="106" t="s">
        <v>358</v>
      </c>
      <c r="G32" s="106" t="s">
        <v>359</v>
      </c>
      <c r="H32" s="106" t="s">
        <v>230</v>
      </c>
      <c r="I32" s="106" t="s">
        <v>360</v>
      </c>
      <c r="J32" s="106" t="s">
        <v>361</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8" style="1" customWidth="1"/>
    <col min="14" max="16384" width="9.140625" style="1"/>
  </cols>
  <sheetData>
    <row r="1" spans="1:26" s="11" customFormat="1" ht="18.75" customHeight="1" x14ac:dyDescent="0.2">
      <c r="A1" s="17"/>
      <c r="B1" s="17"/>
      <c r="M1" s="40"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0" t="str">
        <f>'1. паспорт местоположение'!A5:C5</f>
        <v>Год раскрытия информации: 2022 год</v>
      </c>
      <c r="B5" s="390"/>
      <c r="C5" s="390"/>
      <c r="D5" s="390"/>
      <c r="E5" s="390"/>
      <c r="F5" s="390"/>
      <c r="G5" s="390"/>
      <c r="H5" s="390"/>
      <c r="I5" s="390"/>
      <c r="J5" s="390"/>
      <c r="K5" s="390"/>
      <c r="L5" s="390"/>
      <c r="M5" s="390"/>
      <c r="N5" s="171"/>
      <c r="O5" s="171"/>
      <c r="P5" s="171"/>
      <c r="Q5" s="171"/>
      <c r="R5" s="171"/>
      <c r="S5" s="171"/>
      <c r="T5" s="171"/>
      <c r="U5" s="171"/>
      <c r="V5" s="171"/>
      <c r="W5" s="171"/>
      <c r="X5" s="171"/>
      <c r="Y5" s="171"/>
      <c r="Z5" s="171"/>
    </row>
    <row r="6" spans="1:26" s="11" customFormat="1" ht="15.75" x14ac:dyDescent="0.2">
      <c r="A6" s="16"/>
      <c r="B6" s="16"/>
    </row>
    <row r="7" spans="1:26" s="11" customFormat="1" ht="18.75" x14ac:dyDescent="0.2">
      <c r="A7" s="394" t="s">
        <v>7</v>
      </c>
      <c r="B7" s="394"/>
      <c r="C7" s="394"/>
      <c r="D7" s="394"/>
      <c r="E7" s="394"/>
      <c r="F7" s="394"/>
      <c r="G7" s="394"/>
      <c r="H7" s="394"/>
      <c r="I7" s="394"/>
      <c r="J7" s="394"/>
      <c r="K7" s="394"/>
      <c r="L7" s="394"/>
      <c r="M7" s="394"/>
      <c r="N7" s="12"/>
      <c r="O7" s="12"/>
      <c r="P7" s="12"/>
      <c r="Q7" s="12"/>
      <c r="R7" s="12"/>
      <c r="S7" s="12"/>
      <c r="T7" s="12"/>
      <c r="U7" s="12"/>
      <c r="V7" s="12"/>
      <c r="W7" s="12"/>
      <c r="X7" s="12"/>
    </row>
    <row r="8" spans="1:26" s="11" customFormat="1" ht="18.75" x14ac:dyDescent="0.2">
      <c r="A8" s="394"/>
      <c r="B8" s="394"/>
      <c r="C8" s="394"/>
      <c r="D8" s="394"/>
      <c r="E8" s="394"/>
      <c r="F8" s="394"/>
      <c r="G8" s="394"/>
      <c r="H8" s="394"/>
      <c r="I8" s="394"/>
      <c r="J8" s="394"/>
      <c r="K8" s="394"/>
      <c r="L8" s="394"/>
      <c r="M8" s="394"/>
      <c r="N8" s="12"/>
      <c r="O8" s="12"/>
      <c r="P8" s="12"/>
      <c r="Q8" s="12"/>
      <c r="R8" s="12"/>
      <c r="S8" s="12"/>
      <c r="T8" s="12"/>
      <c r="U8" s="12"/>
      <c r="V8" s="12"/>
      <c r="W8" s="12"/>
      <c r="X8" s="12"/>
    </row>
    <row r="9" spans="1:26" s="11" customFormat="1" ht="18.75" x14ac:dyDescent="0.2">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12"/>
      <c r="O9" s="12"/>
      <c r="P9" s="12"/>
      <c r="Q9" s="12"/>
      <c r="R9" s="12"/>
      <c r="S9" s="12"/>
      <c r="T9" s="12"/>
      <c r="U9" s="12"/>
      <c r="V9" s="12"/>
      <c r="W9" s="12"/>
      <c r="X9" s="12"/>
    </row>
    <row r="10" spans="1:26" s="11" customFormat="1" ht="18.75" x14ac:dyDescent="0.2">
      <c r="A10" s="391" t="s">
        <v>6</v>
      </c>
      <c r="B10" s="391"/>
      <c r="C10" s="391"/>
      <c r="D10" s="391"/>
      <c r="E10" s="391"/>
      <c r="F10" s="391"/>
      <c r="G10" s="391"/>
      <c r="H10" s="391"/>
      <c r="I10" s="391"/>
      <c r="J10" s="391"/>
      <c r="K10" s="391"/>
      <c r="L10" s="391"/>
      <c r="M10" s="391"/>
      <c r="N10" s="12"/>
      <c r="O10" s="12"/>
      <c r="P10" s="12"/>
      <c r="Q10" s="12"/>
      <c r="R10" s="12"/>
      <c r="S10" s="12"/>
      <c r="T10" s="12"/>
      <c r="U10" s="12"/>
      <c r="V10" s="12"/>
      <c r="W10" s="12"/>
      <c r="X10" s="12"/>
    </row>
    <row r="11" spans="1:26" s="11" customFormat="1" ht="18.75" x14ac:dyDescent="0.2">
      <c r="A11" s="394"/>
      <c r="B11" s="394"/>
      <c r="C11" s="394"/>
      <c r="D11" s="394"/>
      <c r="E11" s="394"/>
      <c r="F11" s="394"/>
      <c r="G11" s="394"/>
      <c r="H11" s="394"/>
      <c r="I11" s="394"/>
      <c r="J11" s="394"/>
      <c r="K11" s="394"/>
      <c r="L11" s="394"/>
      <c r="M11" s="394"/>
      <c r="N11" s="12"/>
      <c r="O11" s="12"/>
      <c r="P11" s="12"/>
      <c r="Q11" s="12"/>
      <c r="R11" s="12"/>
      <c r="S11" s="12"/>
      <c r="T11" s="12"/>
      <c r="U11" s="12"/>
      <c r="V11" s="12"/>
      <c r="W11" s="12"/>
      <c r="X11" s="12"/>
    </row>
    <row r="12" spans="1:26" s="11" customFormat="1" ht="18.75" x14ac:dyDescent="0.2">
      <c r="A12" s="397" t="str">
        <f>'1. паспорт местоположение'!A12:C12</f>
        <v>J_18-1157</v>
      </c>
      <c r="B12" s="397"/>
      <c r="C12" s="397"/>
      <c r="D12" s="397"/>
      <c r="E12" s="397"/>
      <c r="F12" s="397"/>
      <c r="G12" s="397"/>
      <c r="H12" s="397"/>
      <c r="I12" s="397"/>
      <c r="J12" s="397"/>
      <c r="K12" s="397"/>
      <c r="L12" s="397"/>
      <c r="M12" s="397"/>
      <c r="N12" s="12"/>
      <c r="O12" s="12"/>
      <c r="P12" s="12"/>
      <c r="Q12" s="12"/>
      <c r="R12" s="12"/>
      <c r="S12" s="12"/>
      <c r="T12" s="12"/>
      <c r="U12" s="12"/>
      <c r="V12" s="12"/>
      <c r="W12" s="12"/>
      <c r="X12" s="12"/>
    </row>
    <row r="13" spans="1:26" s="11" customFormat="1" ht="18.75" x14ac:dyDescent="0.2">
      <c r="A13" s="391" t="s">
        <v>5</v>
      </c>
      <c r="B13" s="391"/>
      <c r="C13" s="391"/>
      <c r="D13" s="391"/>
      <c r="E13" s="391"/>
      <c r="F13" s="391"/>
      <c r="G13" s="391"/>
      <c r="H13" s="391"/>
      <c r="I13" s="391"/>
      <c r="J13" s="391"/>
      <c r="K13" s="391"/>
      <c r="L13" s="391"/>
      <c r="M13" s="391"/>
      <c r="N13" s="12"/>
      <c r="O13" s="12"/>
      <c r="P13" s="12"/>
      <c r="Q13" s="12"/>
      <c r="R13" s="12"/>
      <c r="S13" s="12"/>
      <c r="T13" s="12"/>
      <c r="U13" s="12"/>
      <c r="V13" s="12"/>
      <c r="W13" s="12"/>
      <c r="X13" s="12"/>
    </row>
    <row r="14" spans="1:26" s="8" customFormat="1" ht="15.75" customHeight="1" x14ac:dyDescent="0.2">
      <c r="A14" s="401"/>
      <c r="B14" s="401"/>
      <c r="C14" s="401"/>
      <c r="D14" s="401"/>
      <c r="E14" s="401"/>
      <c r="F14" s="401"/>
      <c r="G14" s="401"/>
      <c r="H14" s="401"/>
      <c r="I14" s="401"/>
      <c r="J14" s="401"/>
      <c r="K14" s="401"/>
      <c r="L14" s="401"/>
      <c r="M14" s="401"/>
      <c r="N14" s="9"/>
      <c r="O14" s="9"/>
      <c r="P14" s="9"/>
      <c r="Q14" s="9"/>
      <c r="R14" s="9"/>
      <c r="S14" s="9"/>
      <c r="T14" s="9"/>
      <c r="U14" s="9"/>
      <c r="V14" s="9"/>
      <c r="W14" s="9"/>
      <c r="X14" s="9"/>
    </row>
    <row r="15" spans="1:26" s="3" customFormat="1" ht="12" x14ac:dyDescent="0.2">
      <c r="A15" s="397" t="str">
        <f>'1. паспорт местоположение'!A15</f>
        <v>Реконструкция ТП 66 (инв. № 5351233), строительство ЛЭП 0,4 кВ от ТП 66, с установкой СП Нового по ул. Садовой в г. Черняховске</v>
      </c>
      <c r="B15" s="397"/>
      <c r="C15" s="397"/>
      <c r="D15" s="397"/>
      <c r="E15" s="397"/>
      <c r="F15" s="397"/>
      <c r="G15" s="397"/>
      <c r="H15" s="397"/>
      <c r="I15" s="397"/>
      <c r="J15" s="397"/>
      <c r="K15" s="397"/>
      <c r="L15" s="397"/>
      <c r="M15" s="397"/>
      <c r="N15" s="7"/>
      <c r="O15" s="7"/>
      <c r="P15" s="7"/>
      <c r="Q15" s="7"/>
      <c r="R15" s="7"/>
      <c r="S15" s="7"/>
      <c r="T15" s="7"/>
      <c r="U15" s="7"/>
      <c r="V15" s="7"/>
      <c r="W15" s="7"/>
      <c r="X15" s="7"/>
    </row>
    <row r="16" spans="1:26" s="3" customFormat="1" ht="15" customHeight="1" x14ac:dyDescent="0.2">
      <c r="A16" s="391" t="s">
        <v>4</v>
      </c>
      <c r="B16" s="391"/>
      <c r="C16" s="391"/>
      <c r="D16" s="391"/>
      <c r="E16" s="391"/>
      <c r="F16" s="391"/>
      <c r="G16" s="391"/>
      <c r="H16" s="391"/>
      <c r="I16" s="391"/>
      <c r="J16" s="391"/>
      <c r="K16" s="391"/>
      <c r="L16" s="391"/>
      <c r="M16" s="391"/>
      <c r="N16" s="5"/>
      <c r="O16" s="5"/>
      <c r="P16" s="5"/>
      <c r="Q16" s="5"/>
      <c r="R16" s="5"/>
      <c r="S16" s="5"/>
      <c r="T16" s="5"/>
      <c r="U16" s="5"/>
      <c r="V16" s="5"/>
      <c r="W16" s="5"/>
      <c r="X16" s="5"/>
    </row>
    <row r="17" spans="1:24" s="3" customFormat="1" ht="15" customHeight="1" x14ac:dyDescent="0.2">
      <c r="A17" s="399"/>
      <c r="B17" s="399"/>
      <c r="C17" s="399"/>
      <c r="D17" s="399"/>
      <c r="E17" s="399"/>
      <c r="F17" s="399"/>
      <c r="G17" s="399"/>
      <c r="H17" s="399"/>
      <c r="I17" s="399"/>
      <c r="J17" s="399"/>
      <c r="K17" s="399"/>
      <c r="L17" s="399"/>
      <c r="M17" s="399"/>
      <c r="N17" s="4"/>
      <c r="O17" s="4"/>
      <c r="P17" s="4"/>
      <c r="Q17" s="4"/>
      <c r="R17" s="4"/>
      <c r="S17" s="4"/>
      <c r="T17" s="4"/>
      <c r="U17" s="4"/>
    </row>
    <row r="18" spans="1:24" s="3" customFormat="1" ht="91.5" customHeight="1" x14ac:dyDescent="0.2">
      <c r="A18" s="439" t="s">
        <v>492</v>
      </c>
      <c r="B18" s="439"/>
      <c r="C18" s="439"/>
      <c r="D18" s="439"/>
      <c r="E18" s="439"/>
      <c r="F18" s="439"/>
      <c r="G18" s="439"/>
      <c r="H18" s="439"/>
      <c r="I18" s="439"/>
      <c r="J18" s="439"/>
      <c r="K18" s="439"/>
      <c r="L18" s="439"/>
      <c r="M18" s="439"/>
      <c r="N18" s="6"/>
      <c r="O18" s="6"/>
      <c r="P18" s="6"/>
      <c r="Q18" s="6"/>
      <c r="R18" s="6"/>
      <c r="S18" s="6"/>
      <c r="T18" s="6"/>
      <c r="U18" s="6"/>
      <c r="V18" s="6"/>
      <c r="W18" s="6"/>
      <c r="X18" s="6"/>
    </row>
    <row r="19" spans="1:24" s="3" customFormat="1" ht="78" customHeight="1" x14ac:dyDescent="0.2">
      <c r="A19" s="402" t="s">
        <v>3</v>
      </c>
      <c r="B19" s="402" t="s">
        <v>82</v>
      </c>
      <c r="C19" s="402" t="s">
        <v>81</v>
      </c>
      <c r="D19" s="402" t="s">
        <v>73</v>
      </c>
      <c r="E19" s="440" t="s">
        <v>80</v>
      </c>
      <c r="F19" s="441"/>
      <c r="G19" s="441"/>
      <c r="H19" s="441"/>
      <c r="I19" s="442"/>
      <c r="J19" s="402" t="s">
        <v>79</v>
      </c>
      <c r="K19" s="402"/>
      <c r="L19" s="402"/>
      <c r="M19" s="402"/>
      <c r="N19" s="4"/>
      <c r="O19" s="4"/>
      <c r="P19" s="4"/>
      <c r="Q19" s="4"/>
      <c r="R19" s="4"/>
      <c r="S19" s="4"/>
      <c r="T19" s="4"/>
      <c r="U19" s="4"/>
    </row>
    <row r="20" spans="1:24" s="3" customFormat="1" ht="51" customHeight="1" x14ac:dyDescent="0.2">
      <c r="A20" s="402"/>
      <c r="B20" s="402"/>
      <c r="C20" s="402"/>
      <c r="D20" s="402"/>
      <c r="E20" s="43" t="s">
        <v>78</v>
      </c>
      <c r="F20" s="43" t="s">
        <v>77</v>
      </c>
      <c r="G20" s="43" t="s">
        <v>76</v>
      </c>
      <c r="H20" s="43" t="s">
        <v>75</v>
      </c>
      <c r="I20" s="43" t="s">
        <v>74</v>
      </c>
      <c r="J20" s="384">
        <v>2020</v>
      </c>
      <c r="K20" s="384">
        <v>2021</v>
      </c>
      <c r="L20" s="384">
        <v>2022</v>
      </c>
      <c r="M20" s="384">
        <v>2023</v>
      </c>
      <c r="N20" s="29"/>
      <c r="O20" s="29"/>
      <c r="P20" s="29"/>
      <c r="Q20" s="29"/>
      <c r="R20" s="29"/>
      <c r="S20" s="29"/>
      <c r="T20" s="29"/>
      <c r="U20" s="29"/>
      <c r="V20" s="28"/>
      <c r="W20" s="28"/>
      <c r="X20" s="28"/>
    </row>
    <row r="21" spans="1:24"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29"/>
      <c r="O21" s="29"/>
      <c r="P21" s="29"/>
      <c r="Q21" s="29"/>
      <c r="R21" s="29"/>
      <c r="S21" s="29"/>
      <c r="T21" s="29"/>
      <c r="U21" s="29"/>
      <c r="V21" s="28"/>
      <c r="W21" s="28"/>
      <c r="X21" s="28"/>
    </row>
    <row r="22" spans="1:24" s="3" customFormat="1" ht="33" customHeight="1" x14ac:dyDescent="0.2">
      <c r="A22" s="47" t="s">
        <v>62</v>
      </c>
      <c r="B22" s="49" t="s">
        <v>727</v>
      </c>
      <c r="C22" s="31">
        <v>0</v>
      </c>
      <c r="D22" s="31">
        <v>0</v>
      </c>
      <c r="E22" s="31">
        <v>0</v>
      </c>
      <c r="F22" s="31">
        <v>0</v>
      </c>
      <c r="G22" s="31">
        <v>0</v>
      </c>
      <c r="H22" s="31">
        <v>0</v>
      </c>
      <c r="I22" s="31">
        <v>0</v>
      </c>
      <c r="J22" s="46">
        <v>0</v>
      </c>
      <c r="K22" s="46">
        <v>0</v>
      </c>
      <c r="L22" s="46">
        <v>0</v>
      </c>
      <c r="M22" s="46">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46" width="16.85546875" style="179" hidden="1" customWidth="1"/>
    <col min="47"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7"/>
      <c r="B1" s="11"/>
      <c r="C1" s="11"/>
      <c r="D1" s="11"/>
      <c r="G1" s="11"/>
      <c r="H1" s="40" t="s">
        <v>66</v>
      </c>
      <c r="I1" s="15"/>
      <c r="J1" s="15"/>
      <c r="K1" s="4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9"/>
      <c r="F2" s="17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0"/>
      <c r="AR2" s="180"/>
    </row>
    <row r="3" spans="1:44" ht="18.75" x14ac:dyDescent="0.3">
      <c r="A3" s="16"/>
      <c r="B3" s="11"/>
      <c r="C3" s="11"/>
      <c r="D3" s="11"/>
      <c r="E3" s="179"/>
      <c r="F3" s="179"/>
      <c r="G3" s="11"/>
      <c r="H3" s="14" t="s">
        <v>344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0"/>
      <c r="AR3" s="18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1"/>
      <c r="AR4" s="181"/>
    </row>
    <row r="5" spans="1:44" x14ac:dyDescent="0.2">
      <c r="A5" s="458" t="str">
        <f>'1. паспорт местоположение'!A5:C5</f>
        <v>Год раскрытия информации: 2022 год</v>
      </c>
      <c r="B5" s="458"/>
      <c r="C5" s="458"/>
      <c r="D5" s="458"/>
      <c r="E5" s="458"/>
      <c r="F5" s="458"/>
      <c r="G5" s="458"/>
      <c r="H5" s="458"/>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1"/>
      <c r="AR6" s="181"/>
    </row>
    <row r="7" spans="1:44" ht="18.75" x14ac:dyDescent="0.2">
      <c r="A7" s="394" t="s">
        <v>7</v>
      </c>
      <c r="B7" s="394"/>
      <c r="C7" s="394"/>
      <c r="D7" s="394"/>
      <c r="E7" s="394"/>
      <c r="F7" s="394"/>
      <c r="G7" s="394"/>
      <c r="H7" s="394"/>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4"/>
      <c r="AR7" s="184"/>
    </row>
    <row r="8" spans="1:44" ht="18.75" x14ac:dyDescent="0.2">
      <c r="A8" s="365"/>
      <c r="B8" s="365"/>
      <c r="C8" s="365"/>
      <c r="D8" s="365"/>
      <c r="E8" s="365"/>
      <c r="F8" s="365"/>
      <c r="G8" s="365"/>
      <c r="H8" s="365"/>
      <c r="I8" s="365"/>
      <c r="J8" s="365"/>
      <c r="K8" s="365"/>
      <c r="L8" s="162"/>
      <c r="M8" s="162"/>
      <c r="N8" s="162"/>
      <c r="O8" s="162"/>
      <c r="P8" s="162"/>
      <c r="Q8" s="162"/>
      <c r="R8" s="162"/>
      <c r="S8" s="162"/>
      <c r="T8" s="162"/>
      <c r="U8" s="162"/>
      <c r="V8" s="162"/>
      <c r="W8" s="162"/>
      <c r="X8" s="162"/>
      <c r="Y8" s="162"/>
      <c r="Z8" s="11"/>
      <c r="AA8" s="11"/>
      <c r="AB8" s="11"/>
      <c r="AC8" s="11"/>
      <c r="AD8" s="11"/>
      <c r="AE8" s="11"/>
      <c r="AF8" s="11"/>
      <c r="AG8" s="11"/>
      <c r="AH8" s="11"/>
      <c r="AI8" s="11"/>
      <c r="AJ8" s="11"/>
      <c r="AK8" s="11"/>
      <c r="AL8" s="11"/>
      <c r="AM8" s="11"/>
      <c r="AN8" s="11"/>
      <c r="AO8" s="11"/>
      <c r="AP8" s="11"/>
      <c r="AQ8" s="181"/>
      <c r="AR8" s="181"/>
    </row>
    <row r="9" spans="1:44" x14ac:dyDescent="0.2">
      <c r="A9" s="458" t="str">
        <f>'1. паспорт местоположение'!A9:C9</f>
        <v>Акционерное общество "Янтарьэнерго" ДЗО  ПАО "Россети"</v>
      </c>
      <c r="B9" s="458"/>
      <c r="C9" s="458"/>
      <c r="D9" s="458"/>
      <c r="E9" s="458"/>
      <c r="F9" s="458"/>
      <c r="G9" s="458"/>
      <c r="H9" s="458"/>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391" t="s">
        <v>6</v>
      </c>
      <c r="B10" s="391"/>
      <c r="C10" s="391"/>
      <c r="D10" s="391"/>
      <c r="E10" s="391"/>
      <c r="F10" s="391"/>
      <c r="G10" s="391"/>
      <c r="H10" s="391"/>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6"/>
      <c r="AR10" s="186"/>
    </row>
    <row r="11" spans="1:44" ht="18.75" x14ac:dyDescent="0.2">
      <c r="A11" s="365"/>
      <c r="B11" s="365"/>
      <c r="C11" s="365"/>
      <c r="D11" s="365"/>
      <c r="E11" s="365"/>
      <c r="F11" s="365"/>
      <c r="G11" s="365"/>
      <c r="H11" s="365"/>
      <c r="I11" s="365"/>
      <c r="J11" s="365"/>
      <c r="K11" s="365"/>
      <c r="L11" s="162"/>
      <c r="M11" s="162"/>
      <c r="N11" s="162"/>
      <c r="O11" s="162"/>
      <c r="P11" s="162"/>
      <c r="Q11" s="162"/>
      <c r="R11" s="162"/>
      <c r="S11" s="162"/>
      <c r="T11" s="162"/>
      <c r="U11" s="162"/>
      <c r="V11" s="162"/>
      <c r="W11" s="162"/>
      <c r="X11" s="162"/>
      <c r="Y11" s="162"/>
      <c r="Z11" s="11"/>
      <c r="AA11" s="11"/>
      <c r="AB11" s="11"/>
      <c r="AC11" s="11"/>
      <c r="AD11" s="11"/>
      <c r="AE11" s="11"/>
      <c r="AF11" s="11"/>
      <c r="AG11" s="11"/>
      <c r="AH11" s="11"/>
      <c r="AI11" s="11"/>
      <c r="AJ11" s="11"/>
      <c r="AK11" s="11"/>
      <c r="AL11" s="11"/>
      <c r="AM11" s="11"/>
      <c r="AN11" s="11"/>
      <c r="AO11" s="11"/>
      <c r="AP11" s="11"/>
      <c r="AQ11" s="181"/>
      <c r="AR11" s="181"/>
    </row>
    <row r="12" spans="1:44" x14ac:dyDescent="0.2">
      <c r="A12" s="458" t="str">
        <f>'1. паспорт местоположение'!A12:C12</f>
        <v>J_18-1157</v>
      </c>
      <c r="B12" s="458"/>
      <c r="C12" s="458"/>
      <c r="D12" s="458"/>
      <c r="E12" s="458"/>
      <c r="F12" s="458"/>
      <c r="G12" s="458"/>
      <c r="H12" s="458"/>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391" t="s">
        <v>5</v>
      </c>
      <c r="B13" s="391"/>
      <c r="C13" s="391"/>
      <c r="D13" s="391"/>
      <c r="E13" s="391"/>
      <c r="F13" s="391"/>
      <c r="G13" s="391"/>
      <c r="H13" s="391"/>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6"/>
      <c r="AR13" s="186"/>
    </row>
    <row r="14" spans="1:44" ht="18.75" x14ac:dyDescent="0.2">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8"/>
      <c r="AA14" s="8"/>
      <c r="AB14" s="8"/>
      <c r="AC14" s="8"/>
      <c r="AD14" s="8"/>
      <c r="AE14" s="8"/>
      <c r="AF14" s="8"/>
      <c r="AG14" s="8"/>
      <c r="AH14" s="8"/>
      <c r="AI14" s="8"/>
      <c r="AJ14" s="8"/>
      <c r="AK14" s="8"/>
      <c r="AL14" s="8"/>
      <c r="AM14" s="8"/>
      <c r="AN14" s="8"/>
      <c r="AO14" s="8"/>
      <c r="AP14" s="8"/>
      <c r="AQ14" s="187"/>
      <c r="AR14" s="187"/>
    </row>
    <row r="15" spans="1:44" x14ac:dyDescent="0.2">
      <c r="A15" s="458" t="str">
        <f>'1. паспорт местоположение'!A15:C15</f>
        <v>Реконструкция ТП 66 (инв. № 5351233), строительство ЛЭП 0,4 кВ от ТП 66, с установкой СП Нового по ул. Садовой в г. Черняховске</v>
      </c>
      <c r="B15" s="458"/>
      <c r="C15" s="458"/>
      <c r="D15" s="458"/>
      <c r="E15" s="458"/>
      <c r="F15" s="458"/>
      <c r="G15" s="458"/>
      <c r="H15" s="458"/>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391" t="s">
        <v>4</v>
      </c>
      <c r="B16" s="391"/>
      <c r="C16" s="391"/>
      <c r="D16" s="391"/>
      <c r="E16" s="391"/>
      <c r="F16" s="391"/>
      <c r="G16" s="391"/>
      <c r="H16" s="391"/>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6"/>
      <c r="AR16" s="186"/>
    </row>
    <row r="17" spans="1:44" ht="18.75" x14ac:dyDescent="0.2">
      <c r="A17" s="366"/>
      <c r="B17" s="366"/>
      <c r="C17" s="366"/>
      <c r="D17" s="366"/>
      <c r="E17" s="366"/>
      <c r="F17" s="366"/>
      <c r="G17" s="366"/>
      <c r="H17" s="366"/>
      <c r="I17" s="366"/>
      <c r="J17" s="366"/>
      <c r="K17" s="366"/>
      <c r="L17" s="366"/>
      <c r="M17" s="366"/>
      <c r="N17" s="366"/>
      <c r="O17" s="366"/>
      <c r="P17" s="366"/>
      <c r="Q17" s="366"/>
      <c r="R17" s="366"/>
      <c r="S17" s="366"/>
      <c r="T17" s="366"/>
      <c r="U17" s="366"/>
      <c r="V17" s="366"/>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93" t="s">
        <v>493</v>
      </c>
      <c r="B18" s="393"/>
      <c r="C18" s="393"/>
      <c r="D18" s="393"/>
      <c r="E18" s="393"/>
      <c r="F18" s="393"/>
      <c r="G18" s="393"/>
      <c r="H18" s="39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343</v>
      </c>
      <c r="B24" s="195" t="s">
        <v>1</v>
      </c>
      <c r="D24" s="196"/>
      <c r="E24" s="197"/>
      <c r="F24" s="197"/>
      <c r="G24" s="197"/>
      <c r="H24" s="197"/>
    </row>
    <row r="25" spans="1:44" x14ac:dyDescent="0.2">
      <c r="A25" s="198" t="s">
        <v>532</v>
      </c>
      <c r="B25" s="199">
        <f>'6.2. Паспорт фин осв ввод'!G52*1000000</f>
        <v>1280264.1299999999</v>
      </c>
    </row>
    <row r="26" spans="1:44" x14ac:dyDescent="0.2">
      <c r="A26" s="200" t="s">
        <v>341</v>
      </c>
      <c r="B26" s="201">
        <v>0</v>
      </c>
    </row>
    <row r="27" spans="1:44" x14ac:dyDescent="0.2">
      <c r="A27" s="200" t="s">
        <v>339</v>
      </c>
      <c r="B27" s="201">
        <f>$B$123</f>
        <v>30</v>
      </c>
      <c r="D27" s="193" t="s">
        <v>342</v>
      </c>
    </row>
    <row r="28" spans="1:44" ht="16.149999999999999" customHeight="1" thickBot="1" x14ac:dyDescent="0.25">
      <c r="A28" s="202" t="s">
        <v>337</v>
      </c>
      <c r="B28" s="203">
        <v>1</v>
      </c>
      <c r="D28" s="445" t="s">
        <v>340</v>
      </c>
      <c r="E28" s="446"/>
      <c r="F28" s="447"/>
      <c r="G28" s="456">
        <f>IF(SUM(B89:L89)=0,"не окупается",SUM(B89:L89))</f>
        <v>1.7584543091700966</v>
      </c>
      <c r="H28" s="457"/>
    </row>
    <row r="29" spans="1:44" ht="15.6" customHeight="1" x14ac:dyDescent="0.2">
      <c r="A29" s="198" t="s">
        <v>335</v>
      </c>
      <c r="B29" s="199">
        <f>$B$126*$B$127</f>
        <v>15155.3496</v>
      </c>
      <c r="D29" s="445" t="s">
        <v>338</v>
      </c>
      <c r="E29" s="446"/>
      <c r="F29" s="447"/>
      <c r="G29" s="456">
        <f>IF(SUM(B90:L90)=0,"не окупается",SUM(B90:L90))</f>
        <v>1.9139374425499665</v>
      </c>
      <c r="H29" s="457"/>
    </row>
    <row r="30" spans="1:44" ht="27.6" customHeight="1" x14ac:dyDescent="0.2">
      <c r="A30" s="200" t="s">
        <v>533</v>
      </c>
      <c r="B30" s="201">
        <v>1</v>
      </c>
      <c r="D30" s="445" t="s">
        <v>336</v>
      </c>
      <c r="E30" s="446"/>
      <c r="F30" s="447"/>
      <c r="G30" s="448">
        <f>L87</f>
        <v>3357728.4896307108</v>
      </c>
      <c r="H30" s="449"/>
    </row>
    <row r="31" spans="1:44" x14ac:dyDescent="0.2">
      <c r="A31" s="200" t="s">
        <v>334</v>
      </c>
      <c r="B31" s="201">
        <v>1</v>
      </c>
      <c r="D31" s="450"/>
      <c r="E31" s="451"/>
      <c r="F31" s="452"/>
      <c r="G31" s="450"/>
      <c r="H31" s="452"/>
    </row>
    <row r="32" spans="1:44" x14ac:dyDescent="0.2">
      <c r="A32" s="200" t="s">
        <v>312</v>
      </c>
      <c r="B32" s="201"/>
    </row>
    <row r="33" spans="1:42" x14ac:dyDescent="0.2">
      <c r="A33" s="200" t="s">
        <v>333</v>
      </c>
      <c r="B33" s="201"/>
    </row>
    <row r="34" spans="1:42" x14ac:dyDescent="0.2">
      <c r="A34" s="200" t="s">
        <v>332</v>
      </c>
      <c r="B34" s="201"/>
    </row>
    <row r="35" spans="1:42" x14ac:dyDescent="0.2">
      <c r="A35" s="204"/>
      <c r="B35" s="201"/>
    </row>
    <row r="36" spans="1:42" ht="16.5" thickBot="1" x14ac:dyDescent="0.25">
      <c r="A36" s="202" t="s">
        <v>304</v>
      </c>
      <c r="B36" s="205">
        <v>0.2</v>
      </c>
    </row>
    <row r="37" spans="1:42" x14ac:dyDescent="0.2">
      <c r="A37" s="198" t="s">
        <v>534</v>
      </c>
      <c r="B37" s="199">
        <v>0</v>
      </c>
    </row>
    <row r="38" spans="1:42" x14ac:dyDescent="0.2">
      <c r="A38" s="200" t="s">
        <v>331</v>
      </c>
      <c r="B38" s="201"/>
    </row>
    <row r="39" spans="1:42" ht="16.5" thickBot="1" x14ac:dyDescent="0.25">
      <c r="A39" s="206" t="s">
        <v>330</v>
      </c>
      <c r="B39" s="207"/>
    </row>
    <row r="40" spans="1:42" x14ac:dyDescent="0.2">
      <c r="A40" s="208" t="s">
        <v>535</v>
      </c>
      <c r="B40" s="209">
        <v>1</v>
      </c>
    </row>
    <row r="41" spans="1:42" x14ac:dyDescent="0.2">
      <c r="A41" s="210" t="s">
        <v>329</v>
      </c>
      <c r="B41" s="211"/>
    </row>
    <row r="42" spans="1:42" x14ac:dyDescent="0.2">
      <c r="A42" s="210" t="s">
        <v>328</v>
      </c>
      <c r="B42" s="212"/>
    </row>
    <row r="43" spans="1:42" x14ac:dyDescent="0.2">
      <c r="A43" s="210" t="s">
        <v>327</v>
      </c>
      <c r="B43" s="212">
        <v>0</v>
      </c>
    </row>
    <row r="44" spans="1:42" x14ac:dyDescent="0.2">
      <c r="A44" s="210" t="s">
        <v>326</v>
      </c>
      <c r="B44" s="212">
        <f>B129</f>
        <v>0.20499999999999999</v>
      </c>
    </row>
    <row r="45" spans="1:42" x14ac:dyDescent="0.2">
      <c r="A45" s="210" t="s">
        <v>325</v>
      </c>
      <c r="B45" s="212">
        <f>1-B43</f>
        <v>1</v>
      </c>
    </row>
    <row r="46" spans="1:42" ht="16.5" thickBot="1" x14ac:dyDescent="0.25">
      <c r="A46" s="213" t="s">
        <v>324</v>
      </c>
      <c r="B46" s="214">
        <f>B45*B44+B43*B42*(1-B36)</f>
        <v>0.20499999999999999</v>
      </c>
      <c r="C46" s="215"/>
    </row>
    <row r="47" spans="1:42" s="218" customFormat="1" x14ac:dyDescent="0.2">
      <c r="A47" s="216" t="s">
        <v>323</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322</v>
      </c>
      <c r="B48" s="276">
        <f>E136</f>
        <v>4.3999999999999997E-2</v>
      </c>
      <c r="C48" s="276">
        <f t="shared" ref="C48:R49" si="1">F136</f>
        <v>4.2000000000000003E-2</v>
      </c>
      <c r="D48" s="276">
        <f t="shared" si="1"/>
        <v>4.2000000000000003E-2</v>
      </c>
      <c r="E48" s="276">
        <f t="shared" si="1"/>
        <v>4.2000000000000003E-2</v>
      </c>
      <c r="F48" s="276">
        <f t="shared" si="1"/>
        <v>4.2000000000000003E-2</v>
      </c>
      <c r="G48" s="276">
        <f t="shared" si="1"/>
        <v>4.2000000000000003E-2</v>
      </c>
      <c r="H48" s="276">
        <f t="shared" si="1"/>
        <v>4.2000000000000003E-2</v>
      </c>
      <c r="I48" s="276">
        <f t="shared" si="1"/>
        <v>4.2000000000000003E-2</v>
      </c>
      <c r="J48" s="276">
        <f t="shared" si="1"/>
        <v>4.2000000000000003E-2</v>
      </c>
      <c r="K48" s="276">
        <f t="shared" si="1"/>
        <v>4.2000000000000003E-2</v>
      </c>
      <c r="L48" s="276">
        <f t="shared" si="1"/>
        <v>4.2000000000000003E-2</v>
      </c>
      <c r="M48" s="276">
        <f t="shared" si="1"/>
        <v>4.2000000000000003E-2</v>
      </c>
      <c r="N48" s="276">
        <f t="shared" si="1"/>
        <v>4.2000000000000003E-2</v>
      </c>
      <c r="O48" s="276">
        <f t="shared" si="1"/>
        <v>4.2000000000000003E-2</v>
      </c>
      <c r="P48" s="276">
        <f t="shared" si="1"/>
        <v>4.2000000000000003E-2</v>
      </c>
      <c r="Q48" s="276">
        <f t="shared" si="1"/>
        <v>4.2000000000000003E-2</v>
      </c>
      <c r="R48" s="276">
        <f t="shared" si="1"/>
        <v>4.2000000000000003E-2</v>
      </c>
      <c r="S48" s="276">
        <f t="shared" ref="S48:AH49" si="2">V136</f>
        <v>4.2000000000000003E-2</v>
      </c>
      <c r="T48" s="276">
        <f t="shared" si="2"/>
        <v>4.2000000000000003E-2</v>
      </c>
      <c r="U48" s="276">
        <f t="shared" si="2"/>
        <v>4.2000000000000003E-2</v>
      </c>
      <c r="V48" s="276">
        <f t="shared" si="2"/>
        <v>4.2000000000000003E-2</v>
      </c>
      <c r="W48" s="276">
        <f t="shared" si="2"/>
        <v>4.2000000000000003E-2</v>
      </c>
      <c r="X48" s="276">
        <f t="shared" si="2"/>
        <v>4.2000000000000003E-2</v>
      </c>
      <c r="Y48" s="276">
        <f t="shared" si="2"/>
        <v>4.2000000000000003E-2</v>
      </c>
      <c r="Z48" s="276">
        <f t="shared" si="2"/>
        <v>4.2000000000000003E-2</v>
      </c>
      <c r="AA48" s="276">
        <f t="shared" si="2"/>
        <v>4.2000000000000003E-2</v>
      </c>
      <c r="AB48" s="276">
        <f t="shared" si="2"/>
        <v>4.2000000000000003E-2</v>
      </c>
      <c r="AC48" s="276">
        <f t="shared" si="2"/>
        <v>4.2000000000000003E-2</v>
      </c>
      <c r="AD48" s="276">
        <f t="shared" si="2"/>
        <v>4.2000000000000003E-2</v>
      </c>
      <c r="AE48" s="276">
        <f t="shared" si="2"/>
        <v>4.2000000000000003E-2</v>
      </c>
      <c r="AF48" s="276">
        <f t="shared" si="2"/>
        <v>4.2000000000000003E-2</v>
      </c>
      <c r="AG48" s="276">
        <f t="shared" si="2"/>
        <v>4.2000000000000003E-2</v>
      </c>
      <c r="AH48" s="276">
        <f t="shared" si="2"/>
        <v>4.2000000000000003E-2</v>
      </c>
      <c r="AI48" s="276">
        <f t="shared" ref="AI48:AP49" si="3">AL136</f>
        <v>4.2000000000000003E-2</v>
      </c>
      <c r="AJ48" s="276">
        <f t="shared" si="3"/>
        <v>4.2000000000000003E-2</v>
      </c>
      <c r="AK48" s="276">
        <f t="shared" si="3"/>
        <v>4.2000000000000003E-2</v>
      </c>
      <c r="AL48" s="276">
        <f t="shared" si="3"/>
        <v>4.2000000000000003E-2</v>
      </c>
      <c r="AM48" s="276">
        <f t="shared" si="3"/>
        <v>4.2000000000000003E-2</v>
      </c>
      <c r="AN48" s="276">
        <f t="shared" si="3"/>
        <v>4.2000000000000003E-2</v>
      </c>
      <c r="AO48" s="276">
        <f t="shared" si="3"/>
        <v>4.2000000000000003E-2</v>
      </c>
      <c r="AP48" s="276">
        <f t="shared" si="3"/>
        <v>4.2000000000000003E-2</v>
      </c>
    </row>
    <row r="49" spans="1:45" s="218" customFormat="1" x14ac:dyDescent="0.2">
      <c r="A49" s="219" t="s">
        <v>321</v>
      </c>
      <c r="B49" s="276">
        <f>E137</f>
        <v>9.2024000000000106E-2</v>
      </c>
      <c r="C49" s="276">
        <f t="shared" si="1"/>
        <v>0.13788900800000015</v>
      </c>
      <c r="D49" s="276">
        <f t="shared" si="1"/>
        <v>0.18568034633600017</v>
      </c>
      <c r="E49" s="276">
        <f t="shared" si="1"/>
        <v>0.2354789208821122</v>
      </c>
      <c r="F49" s="276">
        <f t="shared" si="1"/>
        <v>0.28736903555916093</v>
      </c>
      <c r="G49" s="276">
        <f t="shared" si="1"/>
        <v>0.34143853505264565</v>
      </c>
      <c r="H49" s="276">
        <f t="shared" si="1"/>
        <v>0.39777895352485682</v>
      </c>
      <c r="I49" s="276">
        <f t="shared" si="1"/>
        <v>0.45648566957290093</v>
      </c>
      <c r="J49" s="276">
        <f t="shared" si="1"/>
        <v>0.51765806769496292</v>
      </c>
      <c r="K49" s="276">
        <f t="shared" si="1"/>
        <v>0.58139970653815132</v>
      </c>
      <c r="L49" s="276">
        <f t="shared" si="1"/>
        <v>0.64781849421275384</v>
      </c>
      <c r="M49" s="276">
        <f t="shared" si="1"/>
        <v>0.71702687096968964</v>
      </c>
      <c r="N49" s="276">
        <f t="shared" si="1"/>
        <v>0.78914199955041675</v>
      </c>
      <c r="O49" s="276">
        <f t="shared" si="1"/>
        <v>0.86428596353153431</v>
      </c>
      <c r="P49" s="276">
        <f t="shared" si="1"/>
        <v>0.94258597399985877</v>
      </c>
      <c r="Q49" s="276">
        <f t="shared" si="1"/>
        <v>1.0241745849078527</v>
      </c>
      <c r="R49" s="276">
        <f t="shared" si="1"/>
        <v>1.1091899174739828</v>
      </c>
      <c r="S49" s="276">
        <f t="shared" si="2"/>
        <v>1.19777589400789</v>
      </c>
      <c r="T49" s="276">
        <f t="shared" si="2"/>
        <v>1.2900824815562215</v>
      </c>
      <c r="U49" s="276">
        <f t="shared" si="2"/>
        <v>1.3862659457815827</v>
      </c>
      <c r="V49" s="276">
        <f t="shared" si="2"/>
        <v>1.4864891155044093</v>
      </c>
      <c r="W49" s="276">
        <f t="shared" si="2"/>
        <v>1.5909216583555947</v>
      </c>
      <c r="X49" s="276">
        <f t="shared" si="2"/>
        <v>1.6997403680065299</v>
      </c>
      <c r="Y49" s="276">
        <f t="shared" si="2"/>
        <v>1.8131294634628041</v>
      </c>
      <c r="Z49" s="276">
        <f t="shared" si="2"/>
        <v>1.9312809009282419</v>
      </c>
      <c r="AA49" s="276">
        <f t="shared" si="2"/>
        <v>2.0543946987672284</v>
      </c>
      <c r="AB49" s="276">
        <f t="shared" si="2"/>
        <v>2.1826792761154521</v>
      </c>
      <c r="AC49" s="276">
        <f t="shared" si="2"/>
        <v>2.3163518057123014</v>
      </c>
      <c r="AD49" s="276">
        <f t="shared" si="2"/>
        <v>2.4556385815522184</v>
      </c>
      <c r="AE49" s="276">
        <f t="shared" si="2"/>
        <v>2.6007754019774119</v>
      </c>
      <c r="AF49" s="276">
        <f t="shared" si="2"/>
        <v>2.7520079688604633</v>
      </c>
      <c r="AG49" s="276">
        <f t="shared" si="2"/>
        <v>2.909592303552603</v>
      </c>
      <c r="AH49" s="276">
        <f t="shared" si="2"/>
        <v>3.0737951803018122</v>
      </c>
      <c r="AI49" s="276">
        <f t="shared" si="3"/>
        <v>3.2448945778744882</v>
      </c>
      <c r="AJ49" s="276">
        <f t="shared" si="3"/>
        <v>3.4231801501452166</v>
      </c>
      <c r="AK49" s="276">
        <f t="shared" si="3"/>
        <v>3.6089537164513157</v>
      </c>
      <c r="AL49" s="276">
        <f t="shared" si="3"/>
        <v>3.8025297725422709</v>
      </c>
      <c r="AM49" s="276">
        <f t="shared" si="3"/>
        <v>4.0042360229890468</v>
      </c>
      <c r="AN49" s="276">
        <f t="shared" si="3"/>
        <v>4.2144139359545871</v>
      </c>
      <c r="AO49" s="276">
        <f t="shared" si="3"/>
        <v>4.4334193212646804</v>
      </c>
      <c r="AP49" s="276">
        <f t="shared" si="3"/>
        <v>4.6616229327577976</v>
      </c>
    </row>
    <row r="50" spans="1:45" s="218" customFormat="1" ht="16.5" thickBot="1" x14ac:dyDescent="0.25">
      <c r="A50" s="220" t="s">
        <v>536</v>
      </c>
      <c r="B50" s="221">
        <f>IF($B$124="да",($B$126-0.05),0)</f>
        <v>1515534.91</v>
      </c>
      <c r="C50" s="221">
        <f>C108*(1+C49)</f>
        <v>504203.1291174136</v>
      </c>
      <c r="D50" s="221">
        <f t="shared" ref="D50:AP50" si="4">D108*(1+D49)</f>
        <v>1050759.32108069</v>
      </c>
      <c r="E50" s="221">
        <f t="shared" si="4"/>
        <v>1658926.0796455741</v>
      </c>
      <c r="F50" s="221">
        <f t="shared" si="4"/>
        <v>1728600.9749906883</v>
      </c>
      <c r="G50" s="221">
        <f t="shared" si="4"/>
        <v>1801202.2159402971</v>
      </c>
      <c r="H50" s="221">
        <f t="shared" si="4"/>
        <v>1876852.7090097896</v>
      </c>
      <c r="I50" s="221">
        <f t="shared" si="4"/>
        <v>1955680.522788201</v>
      </c>
      <c r="J50" s="221">
        <f t="shared" si="4"/>
        <v>2037819.1047453056</v>
      </c>
      <c r="K50" s="221">
        <f t="shared" si="4"/>
        <v>2123407.5071446085</v>
      </c>
      <c r="L50" s="221">
        <f t="shared" si="4"/>
        <v>2212590.6224446823</v>
      </c>
      <c r="M50" s="221">
        <f t="shared" si="4"/>
        <v>2305519.4285873589</v>
      </c>
      <c r="N50" s="221">
        <f t="shared" si="4"/>
        <v>2402351.2445880282</v>
      </c>
      <c r="O50" s="221">
        <f t="shared" si="4"/>
        <v>2503249.9968607258</v>
      </c>
      <c r="P50" s="221">
        <f t="shared" si="4"/>
        <v>2608386.4967288761</v>
      </c>
      <c r="Q50" s="221">
        <f t="shared" si="4"/>
        <v>2717938.7295914888</v>
      </c>
      <c r="R50" s="221">
        <f t="shared" si="4"/>
        <v>2832092.1562343314</v>
      </c>
      <c r="S50" s="221">
        <f t="shared" si="4"/>
        <v>2951040.0267961733</v>
      </c>
      <c r="T50" s="221">
        <f t="shared" si="4"/>
        <v>3074983.707921613</v>
      </c>
      <c r="U50" s="221">
        <f t="shared" si="4"/>
        <v>3204133.0236543207</v>
      </c>
      <c r="V50" s="221">
        <f t="shared" si="4"/>
        <v>3338706.6106478022</v>
      </c>
      <c r="W50" s="221">
        <f t="shared" si="4"/>
        <v>3478932.2882950101</v>
      </c>
      <c r="X50" s="221">
        <f t="shared" si="4"/>
        <v>3625047.4444034011</v>
      </c>
      <c r="Y50" s="221">
        <f t="shared" si="4"/>
        <v>3777299.4370683436</v>
      </c>
      <c r="Z50" s="221">
        <f t="shared" si="4"/>
        <v>3935946.0134252142</v>
      </c>
      <c r="AA50" s="221">
        <f t="shared" si="4"/>
        <v>4101255.7459890735</v>
      </c>
      <c r="AB50" s="221">
        <f t="shared" si="4"/>
        <v>4273508.487320615</v>
      </c>
      <c r="AC50" s="221">
        <f t="shared" si="4"/>
        <v>4452995.8437880808</v>
      </c>
      <c r="AD50" s="221">
        <f t="shared" si="4"/>
        <v>4640021.669227181</v>
      </c>
      <c r="AE50" s="221">
        <f t="shared" si="4"/>
        <v>4834902.5793347228</v>
      </c>
      <c r="AF50" s="221">
        <f t="shared" si="4"/>
        <v>5037968.4876667811</v>
      </c>
      <c r="AG50" s="221">
        <f t="shared" si="4"/>
        <v>5249563.164148787</v>
      </c>
      <c r="AH50" s="221">
        <f t="shared" si="4"/>
        <v>5470044.8170430353</v>
      </c>
      <c r="AI50" s="221">
        <f t="shared" si="4"/>
        <v>5699786.6993588433</v>
      </c>
      <c r="AJ50" s="221">
        <f t="shared" si="4"/>
        <v>5939177.7407319136</v>
      </c>
      <c r="AK50" s="221">
        <f t="shared" si="4"/>
        <v>6188623.2058426542</v>
      </c>
      <c r="AL50" s="221">
        <f t="shared" si="4"/>
        <v>6448545.3804880455</v>
      </c>
      <c r="AM50" s="221">
        <f t="shared" si="4"/>
        <v>6719384.286468544</v>
      </c>
      <c r="AN50" s="221">
        <f t="shared" si="4"/>
        <v>7001598.4265002236</v>
      </c>
      <c r="AO50" s="221">
        <f t="shared" si="4"/>
        <v>7295665.5604132339</v>
      </c>
      <c r="AP50" s="221">
        <f t="shared" si="4"/>
        <v>7602083.513950591</v>
      </c>
    </row>
    <row r="51" spans="1:45" ht="16.5" thickBot="1" x14ac:dyDescent="0.25"/>
    <row r="52" spans="1:45" x14ac:dyDescent="0.2">
      <c r="A52" s="222" t="s">
        <v>320</v>
      </c>
      <c r="B52" s="223">
        <f>B58</f>
        <v>1</v>
      </c>
      <c r="C52" s="223">
        <f t="shared" ref="C52:AO52" si="5">C58</f>
        <v>2</v>
      </c>
      <c r="D52" s="223">
        <f t="shared" si="5"/>
        <v>3</v>
      </c>
      <c r="E52" s="223">
        <f t="shared" si="5"/>
        <v>4</v>
      </c>
      <c r="F52" s="223">
        <f t="shared" si="5"/>
        <v>5</v>
      </c>
      <c r="G52" s="223">
        <f t="shared" si="5"/>
        <v>6</v>
      </c>
      <c r="H52" s="223">
        <f t="shared" si="5"/>
        <v>7</v>
      </c>
      <c r="I52" s="223">
        <f t="shared" si="5"/>
        <v>8</v>
      </c>
      <c r="J52" s="223">
        <f t="shared" si="5"/>
        <v>9</v>
      </c>
      <c r="K52" s="223">
        <f t="shared" si="5"/>
        <v>10</v>
      </c>
      <c r="L52" s="223">
        <f t="shared" si="5"/>
        <v>11</v>
      </c>
      <c r="M52" s="223">
        <f t="shared" si="5"/>
        <v>12</v>
      </c>
      <c r="N52" s="223">
        <f t="shared" si="5"/>
        <v>13</v>
      </c>
      <c r="O52" s="223">
        <f t="shared" si="5"/>
        <v>14</v>
      </c>
      <c r="P52" s="223">
        <f t="shared" si="5"/>
        <v>15</v>
      </c>
      <c r="Q52" s="223">
        <f t="shared" si="5"/>
        <v>16</v>
      </c>
      <c r="R52" s="223">
        <f t="shared" si="5"/>
        <v>17</v>
      </c>
      <c r="S52" s="223">
        <f t="shared" si="5"/>
        <v>18</v>
      </c>
      <c r="T52" s="223">
        <f t="shared" si="5"/>
        <v>19</v>
      </c>
      <c r="U52" s="223">
        <f t="shared" si="5"/>
        <v>20</v>
      </c>
      <c r="V52" s="223">
        <f t="shared" si="5"/>
        <v>21</v>
      </c>
      <c r="W52" s="223">
        <f t="shared" si="5"/>
        <v>22</v>
      </c>
      <c r="X52" s="223">
        <f t="shared" si="5"/>
        <v>23</v>
      </c>
      <c r="Y52" s="223">
        <f t="shared" si="5"/>
        <v>24</v>
      </c>
      <c r="Z52" s="223">
        <f t="shared" si="5"/>
        <v>25</v>
      </c>
      <c r="AA52" s="223">
        <f t="shared" si="5"/>
        <v>26</v>
      </c>
      <c r="AB52" s="223">
        <f t="shared" si="5"/>
        <v>27</v>
      </c>
      <c r="AC52" s="223">
        <f t="shared" si="5"/>
        <v>28</v>
      </c>
      <c r="AD52" s="223">
        <f t="shared" si="5"/>
        <v>29</v>
      </c>
      <c r="AE52" s="223">
        <f t="shared" si="5"/>
        <v>30</v>
      </c>
      <c r="AF52" s="223">
        <f t="shared" si="5"/>
        <v>31</v>
      </c>
      <c r="AG52" s="223">
        <f t="shared" si="5"/>
        <v>32</v>
      </c>
      <c r="AH52" s="223">
        <f t="shared" si="5"/>
        <v>33</v>
      </c>
      <c r="AI52" s="223">
        <f t="shared" si="5"/>
        <v>34</v>
      </c>
      <c r="AJ52" s="223">
        <f t="shared" si="5"/>
        <v>35</v>
      </c>
      <c r="AK52" s="223">
        <f t="shared" si="5"/>
        <v>36</v>
      </c>
      <c r="AL52" s="223">
        <f t="shared" si="5"/>
        <v>37</v>
      </c>
      <c r="AM52" s="223">
        <f t="shared" si="5"/>
        <v>38</v>
      </c>
      <c r="AN52" s="223">
        <f t="shared" si="5"/>
        <v>39</v>
      </c>
      <c r="AO52" s="223">
        <f t="shared" si="5"/>
        <v>40</v>
      </c>
      <c r="AP52" s="223">
        <f>AP58</f>
        <v>41</v>
      </c>
    </row>
    <row r="53" spans="1:45" x14ac:dyDescent="0.2">
      <c r="A53" s="224" t="s">
        <v>319</v>
      </c>
      <c r="B53" s="277">
        <v>0</v>
      </c>
      <c r="C53" s="277">
        <f t="shared" ref="C53:AP53" si="6">B53+B54-B55</f>
        <v>0</v>
      </c>
      <c r="D53" s="277">
        <f t="shared" si="6"/>
        <v>0</v>
      </c>
      <c r="E53" s="277">
        <f t="shared" si="6"/>
        <v>0</v>
      </c>
      <c r="F53" s="277">
        <f t="shared" si="6"/>
        <v>0</v>
      </c>
      <c r="G53" s="277">
        <f t="shared" si="6"/>
        <v>0</v>
      </c>
      <c r="H53" s="277">
        <f t="shared" si="6"/>
        <v>0</v>
      </c>
      <c r="I53" s="277">
        <f t="shared" si="6"/>
        <v>0</v>
      </c>
      <c r="J53" s="277">
        <f t="shared" si="6"/>
        <v>0</v>
      </c>
      <c r="K53" s="277">
        <f t="shared" si="6"/>
        <v>0</v>
      </c>
      <c r="L53" s="277">
        <f t="shared" si="6"/>
        <v>0</v>
      </c>
      <c r="M53" s="277">
        <f t="shared" si="6"/>
        <v>0</v>
      </c>
      <c r="N53" s="277">
        <f t="shared" si="6"/>
        <v>0</v>
      </c>
      <c r="O53" s="277">
        <f t="shared" si="6"/>
        <v>0</v>
      </c>
      <c r="P53" s="277">
        <f t="shared" si="6"/>
        <v>0</v>
      </c>
      <c r="Q53" s="277">
        <f t="shared" si="6"/>
        <v>0</v>
      </c>
      <c r="R53" s="277">
        <f t="shared" si="6"/>
        <v>0</v>
      </c>
      <c r="S53" s="277">
        <f t="shared" si="6"/>
        <v>0</v>
      </c>
      <c r="T53" s="277">
        <f t="shared" si="6"/>
        <v>0</v>
      </c>
      <c r="U53" s="277">
        <f t="shared" si="6"/>
        <v>0</v>
      </c>
      <c r="V53" s="277">
        <f t="shared" si="6"/>
        <v>0</v>
      </c>
      <c r="W53" s="277">
        <f t="shared" si="6"/>
        <v>0</v>
      </c>
      <c r="X53" s="277">
        <f t="shared" si="6"/>
        <v>0</v>
      </c>
      <c r="Y53" s="277">
        <f t="shared" si="6"/>
        <v>0</v>
      </c>
      <c r="Z53" s="277">
        <f t="shared" si="6"/>
        <v>0</v>
      </c>
      <c r="AA53" s="277">
        <f t="shared" si="6"/>
        <v>0</v>
      </c>
      <c r="AB53" s="277">
        <f t="shared" si="6"/>
        <v>0</v>
      </c>
      <c r="AC53" s="277">
        <f t="shared" si="6"/>
        <v>0</v>
      </c>
      <c r="AD53" s="277">
        <f t="shared" si="6"/>
        <v>0</v>
      </c>
      <c r="AE53" s="277">
        <f t="shared" si="6"/>
        <v>0</v>
      </c>
      <c r="AF53" s="277">
        <f t="shared" si="6"/>
        <v>0</v>
      </c>
      <c r="AG53" s="277">
        <f t="shared" si="6"/>
        <v>0</v>
      </c>
      <c r="AH53" s="277">
        <f t="shared" si="6"/>
        <v>0</v>
      </c>
      <c r="AI53" s="277">
        <f t="shared" si="6"/>
        <v>0</v>
      </c>
      <c r="AJ53" s="277">
        <f t="shared" si="6"/>
        <v>0</v>
      </c>
      <c r="AK53" s="277">
        <f t="shared" si="6"/>
        <v>0</v>
      </c>
      <c r="AL53" s="277">
        <f t="shared" si="6"/>
        <v>0</v>
      </c>
      <c r="AM53" s="277">
        <f t="shared" si="6"/>
        <v>0</v>
      </c>
      <c r="AN53" s="277">
        <f t="shared" si="6"/>
        <v>0</v>
      </c>
      <c r="AO53" s="277">
        <f t="shared" si="6"/>
        <v>0</v>
      </c>
      <c r="AP53" s="277">
        <f t="shared" si="6"/>
        <v>0</v>
      </c>
    </row>
    <row r="54" spans="1:45" x14ac:dyDescent="0.2">
      <c r="A54" s="224" t="s">
        <v>318</v>
      </c>
      <c r="B54" s="277">
        <f>B25*B28*B43*1.18</f>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7">
        <v>0</v>
      </c>
      <c r="AG54" s="277">
        <v>0</v>
      </c>
      <c r="AH54" s="277">
        <v>0</v>
      </c>
      <c r="AI54" s="277">
        <v>0</v>
      </c>
      <c r="AJ54" s="277">
        <v>0</v>
      </c>
      <c r="AK54" s="277">
        <v>0</v>
      </c>
      <c r="AL54" s="277">
        <v>0</v>
      </c>
      <c r="AM54" s="277">
        <v>0</v>
      </c>
      <c r="AN54" s="277">
        <v>0</v>
      </c>
      <c r="AO54" s="277">
        <v>0</v>
      </c>
      <c r="AP54" s="277">
        <v>0</v>
      </c>
    </row>
    <row r="55" spans="1:45" x14ac:dyDescent="0.2">
      <c r="A55" s="224" t="s">
        <v>317</v>
      </c>
      <c r="B55" s="277">
        <f>$B$54/$B$40</f>
        <v>0</v>
      </c>
      <c r="C55" s="277">
        <f t="shared" ref="C55:AP55" si="7">IF(ROUND(C53,1)=0,0,B55+C54/$B$40)</f>
        <v>0</v>
      </c>
      <c r="D55" s="277">
        <f t="shared" si="7"/>
        <v>0</v>
      </c>
      <c r="E55" s="277">
        <f t="shared" si="7"/>
        <v>0</v>
      </c>
      <c r="F55" s="277">
        <f t="shared" si="7"/>
        <v>0</v>
      </c>
      <c r="G55" s="277">
        <f t="shared" si="7"/>
        <v>0</v>
      </c>
      <c r="H55" s="277">
        <f t="shared" si="7"/>
        <v>0</v>
      </c>
      <c r="I55" s="277">
        <f t="shared" si="7"/>
        <v>0</v>
      </c>
      <c r="J55" s="277">
        <f t="shared" si="7"/>
        <v>0</v>
      </c>
      <c r="K55" s="277">
        <f t="shared" si="7"/>
        <v>0</v>
      </c>
      <c r="L55" s="277">
        <f t="shared" si="7"/>
        <v>0</v>
      </c>
      <c r="M55" s="277">
        <f t="shared" si="7"/>
        <v>0</v>
      </c>
      <c r="N55" s="277">
        <f t="shared" si="7"/>
        <v>0</v>
      </c>
      <c r="O55" s="277">
        <f t="shared" si="7"/>
        <v>0</v>
      </c>
      <c r="P55" s="277">
        <f t="shared" si="7"/>
        <v>0</v>
      </c>
      <c r="Q55" s="277">
        <f t="shared" si="7"/>
        <v>0</v>
      </c>
      <c r="R55" s="277">
        <f t="shared" si="7"/>
        <v>0</v>
      </c>
      <c r="S55" s="277">
        <f t="shared" si="7"/>
        <v>0</v>
      </c>
      <c r="T55" s="277">
        <f t="shared" si="7"/>
        <v>0</v>
      </c>
      <c r="U55" s="277">
        <f t="shared" si="7"/>
        <v>0</v>
      </c>
      <c r="V55" s="277">
        <f t="shared" si="7"/>
        <v>0</v>
      </c>
      <c r="W55" s="277">
        <f t="shared" si="7"/>
        <v>0</v>
      </c>
      <c r="X55" s="277">
        <f t="shared" si="7"/>
        <v>0</v>
      </c>
      <c r="Y55" s="277">
        <f t="shared" si="7"/>
        <v>0</v>
      </c>
      <c r="Z55" s="277">
        <f t="shared" si="7"/>
        <v>0</v>
      </c>
      <c r="AA55" s="277">
        <f t="shared" si="7"/>
        <v>0</v>
      </c>
      <c r="AB55" s="277">
        <f t="shared" si="7"/>
        <v>0</v>
      </c>
      <c r="AC55" s="277">
        <f t="shared" si="7"/>
        <v>0</v>
      </c>
      <c r="AD55" s="277">
        <f t="shared" si="7"/>
        <v>0</v>
      </c>
      <c r="AE55" s="277">
        <f t="shared" si="7"/>
        <v>0</v>
      </c>
      <c r="AF55" s="277">
        <f t="shared" si="7"/>
        <v>0</v>
      </c>
      <c r="AG55" s="277">
        <f t="shared" si="7"/>
        <v>0</v>
      </c>
      <c r="AH55" s="277">
        <f t="shared" si="7"/>
        <v>0</v>
      </c>
      <c r="AI55" s="277">
        <f t="shared" si="7"/>
        <v>0</v>
      </c>
      <c r="AJ55" s="277">
        <f t="shared" si="7"/>
        <v>0</v>
      </c>
      <c r="AK55" s="277">
        <f t="shared" si="7"/>
        <v>0</v>
      </c>
      <c r="AL55" s="277">
        <f t="shared" si="7"/>
        <v>0</v>
      </c>
      <c r="AM55" s="277">
        <f t="shared" si="7"/>
        <v>0</v>
      </c>
      <c r="AN55" s="277">
        <f t="shared" si="7"/>
        <v>0</v>
      </c>
      <c r="AO55" s="277">
        <f t="shared" si="7"/>
        <v>0</v>
      </c>
      <c r="AP55" s="277">
        <f t="shared" si="7"/>
        <v>0</v>
      </c>
    </row>
    <row r="56" spans="1:45" ht="16.5" thickBot="1" x14ac:dyDescent="0.25">
      <c r="A56" s="225" t="s">
        <v>316</v>
      </c>
      <c r="B56" s="226">
        <f t="shared" ref="B56:AP56" si="8">AVERAGE(SUM(B53:B54),(SUM(B53:B54)-B55))*$B$42</f>
        <v>0</v>
      </c>
      <c r="C56" s="226">
        <f t="shared" si="8"/>
        <v>0</v>
      </c>
      <c r="D56" s="226">
        <f t="shared" si="8"/>
        <v>0</v>
      </c>
      <c r="E56" s="226">
        <f t="shared" si="8"/>
        <v>0</v>
      </c>
      <c r="F56" s="226">
        <f t="shared" si="8"/>
        <v>0</v>
      </c>
      <c r="G56" s="226">
        <f t="shared" si="8"/>
        <v>0</v>
      </c>
      <c r="H56" s="226">
        <f t="shared" si="8"/>
        <v>0</v>
      </c>
      <c r="I56" s="226">
        <f t="shared" si="8"/>
        <v>0</v>
      </c>
      <c r="J56" s="226">
        <f t="shared" si="8"/>
        <v>0</v>
      </c>
      <c r="K56" s="226">
        <f t="shared" si="8"/>
        <v>0</v>
      </c>
      <c r="L56" s="226">
        <f t="shared" si="8"/>
        <v>0</v>
      </c>
      <c r="M56" s="226">
        <f t="shared" si="8"/>
        <v>0</v>
      </c>
      <c r="N56" s="226">
        <f t="shared" si="8"/>
        <v>0</v>
      </c>
      <c r="O56" s="226">
        <f t="shared" si="8"/>
        <v>0</v>
      </c>
      <c r="P56" s="226">
        <f t="shared" si="8"/>
        <v>0</v>
      </c>
      <c r="Q56" s="226">
        <f t="shared" si="8"/>
        <v>0</v>
      </c>
      <c r="R56" s="226">
        <f t="shared" si="8"/>
        <v>0</v>
      </c>
      <c r="S56" s="226">
        <f t="shared" si="8"/>
        <v>0</v>
      </c>
      <c r="T56" s="226">
        <f t="shared" si="8"/>
        <v>0</v>
      </c>
      <c r="U56" s="226">
        <f t="shared" si="8"/>
        <v>0</v>
      </c>
      <c r="V56" s="226">
        <f t="shared" si="8"/>
        <v>0</v>
      </c>
      <c r="W56" s="226">
        <f t="shared" si="8"/>
        <v>0</v>
      </c>
      <c r="X56" s="226">
        <f t="shared" si="8"/>
        <v>0</v>
      </c>
      <c r="Y56" s="226">
        <f t="shared" si="8"/>
        <v>0</v>
      </c>
      <c r="Z56" s="226">
        <f t="shared" si="8"/>
        <v>0</v>
      </c>
      <c r="AA56" s="226">
        <f t="shared" si="8"/>
        <v>0</v>
      </c>
      <c r="AB56" s="226">
        <f t="shared" si="8"/>
        <v>0</v>
      </c>
      <c r="AC56" s="226">
        <f t="shared" si="8"/>
        <v>0</v>
      </c>
      <c r="AD56" s="226">
        <f t="shared" si="8"/>
        <v>0</v>
      </c>
      <c r="AE56" s="226">
        <f t="shared" si="8"/>
        <v>0</v>
      </c>
      <c r="AF56" s="226">
        <f t="shared" si="8"/>
        <v>0</v>
      </c>
      <c r="AG56" s="226">
        <f t="shared" si="8"/>
        <v>0</v>
      </c>
      <c r="AH56" s="226">
        <f t="shared" si="8"/>
        <v>0</v>
      </c>
      <c r="AI56" s="226">
        <f t="shared" si="8"/>
        <v>0</v>
      </c>
      <c r="AJ56" s="226">
        <f t="shared" si="8"/>
        <v>0</v>
      </c>
      <c r="AK56" s="226">
        <f t="shared" si="8"/>
        <v>0</v>
      </c>
      <c r="AL56" s="226">
        <f t="shared" si="8"/>
        <v>0</v>
      </c>
      <c r="AM56" s="226">
        <f t="shared" si="8"/>
        <v>0</v>
      </c>
      <c r="AN56" s="226">
        <f t="shared" si="8"/>
        <v>0</v>
      </c>
      <c r="AO56" s="226">
        <f t="shared" si="8"/>
        <v>0</v>
      </c>
      <c r="AP56" s="226">
        <f t="shared" si="8"/>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537</v>
      </c>
      <c r="B58" s="223">
        <v>1</v>
      </c>
      <c r="C58" s="223">
        <f>B58+1</f>
        <v>2</v>
      </c>
      <c r="D58" s="223">
        <f t="shared" ref="D58:AP58" si="9">C58+1</f>
        <v>3</v>
      </c>
      <c r="E58" s="223">
        <f t="shared" si="9"/>
        <v>4</v>
      </c>
      <c r="F58" s="223">
        <f t="shared" si="9"/>
        <v>5</v>
      </c>
      <c r="G58" s="223">
        <f t="shared" si="9"/>
        <v>6</v>
      </c>
      <c r="H58" s="223">
        <f t="shared" si="9"/>
        <v>7</v>
      </c>
      <c r="I58" s="223">
        <f t="shared" si="9"/>
        <v>8</v>
      </c>
      <c r="J58" s="223">
        <f t="shared" si="9"/>
        <v>9</v>
      </c>
      <c r="K58" s="223">
        <f t="shared" si="9"/>
        <v>10</v>
      </c>
      <c r="L58" s="223">
        <f t="shared" si="9"/>
        <v>11</v>
      </c>
      <c r="M58" s="223">
        <f t="shared" si="9"/>
        <v>12</v>
      </c>
      <c r="N58" s="223">
        <f t="shared" si="9"/>
        <v>13</v>
      </c>
      <c r="O58" s="223">
        <f t="shared" si="9"/>
        <v>14</v>
      </c>
      <c r="P58" s="223">
        <f t="shared" si="9"/>
        <v>15</v>
      </c>
      <c r="Q58" s="223">
        <f t="shared" si="9"/>
        <v>16</v>
      </c>
      <c r="R58" s="223">
        <f t="shared" si="9"/>
        <v>17</v>
      </c>
      <c r="S58" s="223">
        <f t="shared" si="9"/>
        <v>18</v>
      </c>
      <c r="T58" s="223">
        <f t="shared" si="9"/>
        <v>19</v>
      </c>
      <c r="U58" s="223">
        <f t="shared" si="9"/>
        <v>20</v>
      </c>
      <c r="V58" s="223">
        <f t="shared" si="9"/>
        <v>21</v>
      </c>
      <c r="W58" s="223">
        <f t="shared" si="9"/>
        <v>22</v>
      </c>
      <c r="X58" s="223">
        <f t="shared" si="9"/>
        <v>23</v>
      </c>
      <c r="Y58" s="223">
        <f t="shared" si="9"/>
        <v>24</v>
      </c>
      <c r="Z58" s="223">
        <f t="shared" si="9"/>
        <v>25</v>
      </c>
      <c r="AA58" s="223">
        <f t="shared" si="9"/>
        <v>26</v>
      </c>
      <c r="AB58" s="223">
        <f t="shared" si="9"/>
        <v>27</v>
      </c>
      <c r="AC58" s="223">
        <f t="shared" si="9"/>
        <v>28</v>
      </c>
      <c r="AD58" s="223">
        <f t="shared" si="9"/>
        <v>29</v>
      </c>
      <c r="AE58" s="223">
        <f t="shared" si="9"/>
        <v>30</v>
      </c>
      <c r="AF58" s="223">
        <f t="shared" si="9"/>
        <v>31</v>
      </c>
      <c r="AG58" s="223">
        <f t="shared" si="9"/>
        <v>32</v>
      </c>
      <c r="AH58" s="223">
        <f t="shared" si="9"/>
        <v>33</v>
      </c>
      <c r="AI58" s="223">
        <f t="shared" si="9"/>
        <v>34</v>
      </c>
      <c r="AJ58" s="223">
        <f t="shared" si="9"/>
        <v>35</v>
      </c>
      <c r="AK58" s="223">
        <f t="shared" si="9"/>
        <v>36</v>
      </c>
      <c r="AL58" s="223">
        <f t="shared" si="9"/>
        <v>37</v>
      </c>
      <c r="AM58" s="223">
        <f t="shared" si="9"/>
        <v>38</v>
      </c>
      <c r="AN58" s="223">
        <f t="shared" si="9"/>
        <v>39</v>
      </c>
      <c r="AO58" s="223">
        <f t="shared" si="9"/>
        <v>40</v>
      </c>
      <c r="AP58" s="223">
        <f t="shared" si="9"/>
        <v>41</v>
      </c>
    </row>
    <row r="59" spans="1:45" ht="14.25" x14ac:dyDescent="0.2">
      <c r="A59" s="230" t="s">
        <v>315</v>
      </c>
      <c r="B59" s="278">
        <f t="shared" ref="B59:AP59" si="10">B50*$B$28</f>
        <v>1515534.91</v>
      </c>
      <c r="C59" s="278">
        <f t="shared" si="10"/>
        <v>504203.1291174136</v>
      </c>
      <c r="D59" s="278">
        <f t="shared" si="10"/>
        <v>1050759.32108069</v>
      </c>
      <c r="E59" s="278">
        <f t="shared" si="10"/>
        <v>1658926.0796455741</v>
      </c>
      <c r="F59" s="278">
        <f t="shared" si="10"/>
        <v>1728600.9749906883</v>
      </c>
      <c r="G59" s="278">
        <f t="shared" si="10"/>
        <v>1801202.2159402971</v>
      </c>
      <c r="H59" s="278">
        <f t="shared" si="10"/>
        <v>1876852.7090097896</v>
      </c>
      <c r="I59" s="278">
        <f t="shared" si="10"/>
        <v>1955680.522788201</v>
      </c>
      <c r="J59" s="278">
        <f t="shared" si="10"/>
        <v>2037819.1047453056</v>
      </c>
      <c r="K59" s="278">
        <f t="shared" si="10"/>
        <v>2123407.5071446085</v>
      </c>
      <c r="L59" s="278">
        <f t="shared" si="10"/>
        <v>2212590.6224446823</v>
      </c>
      <c r="M59" s="278">
        <f t="shared" si="10"/>
        <v>2305519.4285873589</v>
      </c>
      <c r="N59" s="278">
        <f t="shared" si="10"/>
        <v>2402351.2445880282</v>
      </c>
      <c r="O59" s="278">
        <f t="shared" si="10"/>
        <v>2503249.9968607258</v>
      </c>
      <c r="P59" s="278">
        <f t="shared" si="10"/>
        <v>2608386.4967288761</v>
      </c>
      <c r="Q59" s="278">
        <f t="shared" si="10"/>
        <v>2717938.7295914888</v>
      </c>
      <c r="R59" s="278">
        <f t="shared" si="10"/>
        <v>2832092.1562343314</v>
      </c>
      <c r="S59" s="278">
        <f t="shared" si="10"/>
        <v>2951040.0267961733</v>
      </c>
      <c r="T59" s="278">
        <f t="shared" si="10"/>
        <v>3074983.707921613</v>
      </c>
      <c r="U59" s="278">
        <f t="shared" si="10"/>
        <v>3204133.0236543207</v>
      </c>
      <c r="V59" s="278">
        <f t="shared" si="10"/>
        <v>3338706.6106478022</v>
      </c>
      <c r="W59" s="278">
        <f t="shared" si="10"/>
        <v>3478932.2882950101</v>
      </c>
      <c r="X59" s="278">
        <f t="shared" si="10"/>
        <v>3625047.4444034011</v>
      </c>
      <c r="Y59" s="278">
        <f t="shared" si="10"/>
        <v>3777299.4370683436</v>
      </c>
      <c r="Z59" s="278">
        <f t="shared" si="10"/>
        <v>3935946.0134252142</v>
      </c>
      <c r="AA59" s="278">
        <f t="shared" si="10"/>
        <v>4101255.7459890735</v>
      </c>
      <c r="AB59" s="278">
        <f t="shared" si="10"/>
        <v>4273508.487320615</v>
      </c>
      <c r="AC59" s="278">
        <f t="shared" si="10"/>
        <v>4452995.8437880808</v>
      </c>
      <c r="AD59" s="278">
        <f t="shared" si="10"/>
        <v>4640021.669227181</v>
      </c>
      <c r="AE59" s="278">
        <f t="shared" si="10"/>
        <v>4834902.5793347228</v>
      </c>
      <c r="AF59" s="278">
        <f t="shared" si="10"/>
        <v>5037968.4876667811</v>
      </c>
      <c r="AG59" s="278">
        <f t="shared" si="10"/>
        <v>5249563.164148787</v>
      </c>
      <c r="AH59" s="278">
        <f t="shared" si="10"/>
        <v>5470044.8170430353</v>
      </c>
      <c r="AI59" s="278">
        <f t="shared" si="10"/>
        <v>5699786.6993588433</v>
      </c>
      <c r="AJ59" s="278">
        <f t="shared" si="10"/>
        <v>5939177.7407319136</v>
      </c>
      <c r="AK59" s="278">
        <f t="shared" si="10"/>
        <v>6188623.2058426542</v>
      </c>
      <c r="AL59" s="278">
        <f t="shared" si="10"/>
        <v>6448545.3804880455</v>
      </c>
      <c r="AM59" s="278">
        <f t="shared" si="10"/>
        <v>6719384.286468544</v>
      </c>
      <c r="AN59" s="278">
        <f t="shared" si="10"/>
        <v>7001598.4265002236</v>
      </c>
      <c r="AO59" s="278">
        <f t="shared" si="10"/>
        <v>7295665.5604132339</v>
      </c>
      <c r="AP59" s="278">
        <f t="shared" si="10"/>
        <v>7602083.513950591</v>
      </c>
    </row>
    <row r="60" spans="1:45" x14ac:dyDescent="0.2">
      <c r="A60" s="224" t="s">
        <v>314</v>
      </c>
      <c r="B60" s="277">
        <f t="shared" ref="B60:Z60" si="11">SUM(B61:B65)</f>
        <v>0</v>
      </c>
      <c r="C60" s="277">
        <f t="shared" si="11"/>
        <v>-17245.1057222372</v>
      </c>
      <c r="D60" s="277">
        <f>SUM(D61:D65)</f>
        <v>-17969.400162571161</v>
      </c>
      <c r="E60" s="277">
        <f t="shared" si="11"/>
        <v>-18724.11496939915</v>
      </c>
      <c r="F60" s="277">
        <f t="shared" si="11"/>
        <v>-19510.527798113915</v>
      </c>
      <c r="G60" s="277">
        <f t="shared" si="11"/>
        <v>-20329.9699656347</v>
      </c>
      <c r="H60" s="277">
        <f t="shared" si="11"/>
        <v>-21183.828704191357</v>
      </c>
      <c r="I60" s="277">
        <f t="shared" si="11"/>
        <v>-22073.549509767396</v>
      </c>
      <c r="J60" s="277">
        <f t="shared" si="11"/>
        <v>-23000.63858917763</v>
      </c>
      <c r="K60" s="277">
        <f t="shared" si="11"/>
        <v>-23966.665409923087</v>
      </c>
      <c r="L60" s="277">
        <f t="shared" si="11"/>
        <v>-24973.265357139859</v>
      </c>
      <c r="M60" s="277">
        <f t="shared" si="11"/>
        <v>-26022.142502139737</v>
      </c>
      <c r="N60" s="277">
        <f t="shared" si="11"/>
        <v>-27115.072487229609</v>
      </c>
      <c r="O60" s="277">
        <f t="shared" si="11"/>
        <v>-28253.905531693254</v>
      </c>
      <c r="P60" s="277">
        <f t="shared" si="11"/>
        <v>-29440.569564024368</v>
      </c>
      <c r="Q60" s="277">
        <f t="shared" si="11"/>
        <v>-30677.07348571339</v>
      </c>
      <c r="R60" s="277">
        <f t="shared" si="11"/>
        <v>-31965.510572113355</v>
      </c>
      <c r="S60" s="277">
        <f t="shared" si="11"/>
        <v>-33308.062016142117</v>
      </c>
      <c r="T60" s="277">
        <f t="shared" si="11"/>
        <v>-34707.000620820087</v>
      </c>
      <c r="U60" s="277">
        <f t="shared" si="11"/>
        <v>-36164.694646894532</v>
      </c>
      <c r="V60" s="277">
        <f t="shared" si="11"/>
        <v>-37683.6118220641</v>
      </c>
      <c r="W60" s="277">
        <f t="shared" si="11"/>
        <v>-39266.323518590798</v>
      </c>
      <c r="X60" s="277">
        <f t="shared" si="11"/>
        <v>-40915.509106371617</v>
      </c>
      <c r="Y60" s="277">
        <f t="shared" si="11"/>
        <v>-42633.96048883922</v>
      </c>
      <c r="Z60" s="277">
        <f t="shared" si="11"/>
        <v>-44424.58682937047</v>
      </c>
      <c r="AA60" s="277">
        <f t="shared" ref="AA60:AP60" si="12">SUM(AA61:AA65)</f>
        <v>-46290.419476204035</v>
      </c>
      <c r="AB60" s="277">
        <f t="shared" si="12"/>
        <v>-48234.617094204608</v>
      </c>
      <c r="AC60" s="277">
        <f t="shared" si="12"/>
        <v>-50260.471012161201</v>
      </c>
      <c r="AD60" s="277">
        <f t="shared" si="12"/>
        <v>-52371.410794671981</v>
      </c>
      <c r="AE60" s="277">
        <f t="shared" si="12"/>
        <v>-54571.010048048207</v>
      </c>
      <c r="AF60" s="277">
        <f t="shared" si="12"/>
        <v>-56862.99247006623</v>
      </c>
      <c r="AG60" s="277">
        <f t="shared" si="12"/>
        <v>-59251.238153809019</v>
      </c>
      <c r="AH60" s="277">
        <f t="shared" si="12"/>
        <v>-61739.790156268995</v>
      </c>
      <c r="AI60" s="277">
        <f t="shared" si="12"/>
        <v>-64332.861342832293</v>
      </c>
      <c r="AJ60" s="277">
        <f t="shared" si="12"/>
        <v>-67034.841519231253</v>
      </c>
      <c r="AK60" s="277">
        <f t="shared" si="12"/>
        <v>-69850.304863038953</v>
      </c>
      <c r="AL60" s="277">
        <f t="shared" si="12"/>
        <v>-72784.017667286593</v>
      </c>
      <c r="AM60" s="277">
        <f t="shared" si="12"/>
        <v>-75840.946409312644</v>
      </c>
      <c r="AN60" s="277">
        <f t="shared" si="12"/>
        <v>-79026.266158503771</v>
      </c>
      <c r="AO60" s="277">
        <f t="shared" si="12"/>
        <v>-82345.369337160941</v>
      </c>
      <c r="AP60" s="277">
        <f t="shared" si="12"/>
        <v>-85803.874849321714</v>
      </c>
    </row>
    <row r="61" spans="1:45" x14ac:dyDescent="0.2">
      <c r="A61" s="231" t="s">
        <v>313</v>
      </c>
      <c r="B61" s="277"/>
      <c r="C61" s="277">
        <f>-IF(C$47&lt;=$B$30,0,$B$29*(1+C$49)*$B$28)</f>
        <v>-17245.1057222372</v>
      </c>
      <c r="D61" s="277">
        <f>-IF(D$47&lt;=$B$30,0,$B$29*(1+D$49)*$B$28)</f>
        <v>-17969.400162571161</v>
      </c>
      <c r="E61" s="277">
        <f t="shared" ref="E61:AP61" si="13">-IF(E$47&lt;=$B$30,0,$B$29*(1+E$49)*$B$28)</f>
        <v>-18724.11496939915</v>
      </c>
      <c r="F61" s="277">
        <f t="shared" si="13"/>
        <v>-19510.527798113915</v>
      </c>
      <c r="G61" s="277">
        <f t="shared" si="13"/>
        <v>-20329.9699656347</v>
      </c>
      <c r="H61" s="277">
        <f t="shared" si="13"/>
        <v>-21183.828704191357</v>
      </c>
      <c r="I61" s="277">
        <f t="shared" si="13"/>
        <v>-22073.549509767396</v>
      </c>
      <c r="J61" s="277">
        <f t="shared" si="13"/>
        <v>-23000.63858917763</v>
      </c>
      <c r="K61" s="277">
        <f t="shared" si="13"/>
        <v>-23966.665409923087</v>
      </c>
      <c r="L61" s="277">
        <f t="shared" si="13"/>
        <v>-24973.265357139859</v>
      </c>
      <c r="M61" s="277">
        <f t="shared" si="13"/>
        <v>-26022.142502139737</v>
      </c>
      <c r="N61" s="277">
        <f t="shared" si="13"/>
        <v>-27115.072487229609</v>
      </c>
      <c r="O61" s="277">
        <f t="shared" si="13"/>
        <v>-28253.905531693254</v>
      </c>
      <c r="P61" s="277">
        <f t="shared" si="13"/>
        <v>-29440.569564024368</v>
      </c>
      <c r="Q61" s="277">
        <f t="shared" si="13"/>
        <v>-30677.07348571339</v>
      </c>
      <c r="R61" s="277">
        <f t="shared" si="13"/>
        <v>-31965.510572113355</v>
      </c>
      <c r="S61" s="277">
        <f t="shared" si="13"/>
        <v>-33308.062016142117</v>
      </c>
      <c r="T61" s="277">
        <f t="shared" si="13"/>
        <v>-34707.000620820087</v>
      </c>
      <c r="U61" s="277">
        <f t="shared" si="13"/>
        <v>-36164.694646894532</v>
      </c>
      <c r="V61" s="277">
        <f t="shared" si="13"/>
        <v>-37683.6118220641</v>
      </c>
      <c r="W61" s="277">
        <f t="shared" si="13"/>
        <v>-39266.323518590798</v>
      </c>
      <c r="X61" s="277">
        <f t="shared" si="13"/>
        <v>-40915.509106371617</v>
      </c>
      <c r="Y61" s="277">
        <f t="shared" si="13"/>
        <v>-42633.96048883922</v>
      </c>
      <c r="Z61" s="277">
        <f t="shared" si="13"/>
        <v>-44424.58682937047</v>
      </c>
      <c r="AA61" s="277">
        <f t="shared" si="13"/>
        <v>-46290.419476204035</v>
      </c>
      <c r="AB61" s="277">
        <f t="shared" si="13"/>
        <v>-48234.617094204608</v>
      </c>
      <c r="AC61" s="277">
        <f t="shared" si="13"/>
        <v>-50260.471012161201</v>
      </c>
      <c r="AD61" s="277">
        <f t="shared" si="13"/>
        <v>-52371.410794671981</v>
      </c>
      <c r="AE61" s="277">
        <f t="shared" si="13"/>
        <v>-54571.010048048207</v>
      </c>
      <c r="AF61" s="277">
        <f t="shared" si="13"/>
        <v>-56862.99247006623</v>
      </c>
      <c r="AG61" s="277">
        <f t="shared" si="13"/>
        <v>-59251.238153809019</v>
      </c>
      <c r="AH61" s="277">
        <f t="shared" si="13"/>
        <v>-61739.790156268995</v>
      </c>
      <c r="AI61" s="277">
        <f t="shared" si="13"/>
        <v>-64332.861342832293</v>
      </c>
      <c r="AJ61" s="277">
        <f t="shared" si="13"/>
        <v>-67034.841519231253</v>
      </c>
      <c r="AK61" s="277">
        <f t="shared" si="13"/>
        <v>-69850.304863038953</v>
      </c>
      <c r="AL61" s="277">
        <f t="shared" si="13"/>
        <v>-72784.017667286593</v>
      </c>
      <c r="AM61" s="277">
        <f t="shared" si="13"/>
        <v>-75840.946409312644</v>
      </c>
      <c r="AN61" s="277">
        <f t="shared" si="13"/>
        <v>-79026.266158503771</v>
      </c>
      <c r="AO61" s="277">
        <f t="shared" si="13"/>
        <v>-82345.369337160941</v>
      </c>
      <c r="AP61" s="277">
        <f t="shared" si="13"/>
        <v>-85803.874849321714</v>
      </c>
    </row>
    <row r="62" spans="1:45" x14ac:dyDescent="0.2">
      <c r="A62" s="231" t="str">
        <f>A32</f>
        <v>Прочие расходы при эксплуатации объекта, руб. без НДС</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7"/>
      <c r="AN62" s="277"/>
      <c r="AO62" s="277"/>
      <c r="AP62" s="277"/>
    </row>
    <row r="63" spans="1:45" x14ac:dyDescent="0.2">
      <c r="A63" s="231" t="s">
        <v>534</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c r="AL63" s="277"/>
      <c r="AM63" s="277"/>
      <c r="AN63" s="277"/>
      <c r="AO63" s="277"/>
      <c r="AP63" s="277"/>
    </row>
    <row r="64" spans="1:45" x14ac:dyDescent="0.2">
      <c r="A64" s="231" t="s">
        <v>534</v>
      </c>
      <c r="B64" s="277"/>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row>
    <row r="65" spans="1:45" ht="31.5" x14ac:dyDescent="0.2">
      <c r="A65" s="231" t="s">
        <v>538</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c r="AN65" s="277"/>
      <c r="AO65" s="277"/>
      <c r="AP65" s="277"/>
    </row>
    <row r="66" spans="1:45" ht="28.5" x14ac:dyDescent="0.2">
      <c r="A66" s="232" t="s">
        <v>311</v>
      </c>
      <c r="B66" s="278">
        <f t="shared" ref="B66:AO66" si="14">B59+B60</f>
        <v>1515534.91</v>
      </c>
      <c r="C66" s="278">
        <f t="shared" si="14"/>
        <v>486958.02339517639</v>
      </c>
      <c r="D66" s="278">
        <f t="shared" si="14"/>
        <v>1032789.9209181189</v>
      </c>
      <c r="E66" s="278">
        <f t="shared" si="14"/>
        <v>1640201.964676175</v>
      </c>
      <c r="F66" s="278">
        <f t="shared" si="14"/>
        <v>1709090.4471925744</v>
      </c>
      <c r="G66" s="278">
        <f t="shared" si="14"/>
        <v>1780872.2459746625</v>
      </c>
      <c r="H66" s="278">
        <f t="shared" si="14"/>
        <v>1855668.8803055983</v>
      </c>
      <c r="I66" s="278">
        <f t="shared" si="14"/>
        <v>1933606.9732784336</v>
      </c>
      <c r="J66" s="278">
        <f t="shared" si="14"/>
        <v>2014818.4661561279</v>
      </c>
      <c r="K66" s="278">
        <f t="shared" si="14"/>
        <v>2099440.8417346855</v>
      </c>
      <c r="L66" s="278">
        <f t="shared" si="14"/>
        <v>2187617.3570875423</v>
      </c>
      <c r="M66" s="278">
        <f t="shared" si="14"/>
        <v>2279497.2860852191</v>
      </c>
      <c r="N66" s="278">
        <f t="shared" si="14"/>
        <v>2375236.1721007987</v>
      </c>
      <c r="O66" s="278">
        <f t="shared" si="14"/>
        <v>2474996.0913290326</v>
      </c>
      <c r="P66" s="278">
        <f t="shared" si="14"/>
        <v>2578945.9271648517</v>
      </c>
      <c r="Q66" s="278">
        <f t="shared" si="14"/>
        <v>2687261.6561057754</v>
      </c>
      <c r="R66" s="278">
        <f t="shared" si="14"/>
        <v>2800126.6456622179</v>
      </c>
      <c r="S66" s="278">
        <f t="shared" si="14"/>
        <v>2917731.9647800312</v>
      </c>
      <c r="T66" s="278">
        <f t="shared" si="14"/>
        <v>3040276.7073007929</v>
      </c>
      <c r="U66" s="278">
        <f t="shared" si="14"/>
        <v>3167968.3290074263</v>
      </c>
      <c r="V66" s="278">
        <f t="shared" si="14"/>
        <v>3301022.9988257382</v>
      </c>
      <c r="W66" s="278">
        <f t="shared" si="14"/>
        <v>3439665.9647764191</v>
      </c>
      <c r="X66" s="278">
        <f t="shared" si="14"/>
        <v>3584131.9352970296</v>
      </c>
      <c r="Y66" s="278">
        <f t="shared" si="14"/>
        <v>3734665.4765795046</v>
      </c>
      <c r="Z66" s="278">
        <f t="shared" si="14"/>
        <v>3891521.4265958439</v>
      </c>
      <c r="AA66" s="278">
        <f t="shared" si="14"/>
        <v>4054965.3265128694</v>
      </c>
      <c r="AB66" s="278">
        <f t="shared" si="14"/>
        <v>4225273.8702264102</v>
      </c>
      <c r="AC66" s="278">
        <f t="shared" si="14"/>
        <v>4402735.3727759197</v>
      </c>
      <c r="AD66" s="278">
        <f t="shared" si="14"/>
        <v>4587650.2584325094</v>
      </c>
      <c r="AE66" s="278">
        <f t="shared" si="14"/>
        <v>4780331.5692866743</v>
      </c>
      <c r="AF66" s="278">
        <f t="shared" si="14"/>
        <v>4981105.495196715</v>
      </c>
      <c r="AG66" s="278">
        <f t="shared" si="14"/>
        <v>5190311.9259949783</v>
      </c>
      <c r="AH66" s="278">
        <f t="shared" si="14"/>
        <v>5408305.0268867658</v>
      </c>
      <c r="AI66" s="278">
        <f t="shared" si="14"/>
        <v>5635453.8380160108</v>
      </c>
      <c r="AJ66" s="278">
        <f t="shared" si="14"/>
        <v>5872142.8992126826</v>
      </c>
      <c r="AK66" s="278">
        <f t="shared" si="14"/>
        <v>6118772.9009796148</v>
      </c>
      <c r="AL66" s="278">
        <f t="shared" si="14"/>
        <v>6375761.3628207585</v>
      </c>
      <c r="AM66" s="278">
        <f t="shared" si="14"/>
        <v>6643543.340059231</v>
      </c>
      <c r="AN66" s="278">
        <f t="shared" si="14"/>
        <v>6922572.1603417201</v>
      </c>
      <c r="AO66" s="278">
        <f t="shared" si="14"/>
        <v>7213320.1910760729</v>
      </c>
      <c r="AP66" s="278">
        <f>AP59+AP60</f>
        <v>7516279.6391012697</v>
      </c>
    </row>
    <row r="67" spans="1:45" x14ac:dyDescent="0.2">
      <c r="A67" s="231" t="s">
        <v>306</v>
      </c>
      <c r="B67" s="233"/>
      <c r="C67" s="277">
        <f>-($B$25)*1.18*$B$28/$B$27</f>
        <v>-50357.055779999988</v>
      </c>
      <c r="D67" s="277">
        <f>C67</f>
        <v>-50357.055779999988</v>
      </c>
      <c r="E67" s="277">
        <f t="shared" ref="E67:AP67" si="15">D67</f>
        <v>-50357.055779999988</v>
      </c>
      <c r="F67" s="277">
        <f t="shared" si="15"/>
        <v>-50357.055779999988</v>
      </c>
      <c r="G67" s="277">
        <f t="shared" si="15"/>
        <v>-50357.055779999988</v>
      </c>
      <c r="H67" s="277">
        <f t="shared" si="15"/>
        <v>-50357.055779999988</v>
      </c>
      <c r="I67" s="277">
        <f t="shared" si="15"/>
        <v>-50357.055779999988</v>
      </c>
      <c r="J67" s="277">
        <f t="shared" si="15"/>
        <v>-50357.055779999988</v>
      </c>
      <c r="K67" s="277">
        <f t="shared" si="15"/>
        <v>-50357.055779999988</v>
      </c>
      <c r="L67" s="277">
        <f t="shared" si="15"/>
        <v>-50357.055779999988</v>
      </c>
      <c r="M67" s="277">
        <f t="shared" si="15"/>
        <v>-50357.055779999988</v>
      </c>
      <c r="N67" s="277">
        <f t="shared" si="15"/>
        <v>-50357.055779999988</v>
      </c>
      <c r="O67" s="277">
        <f t="shared" si="15"/>
        <v>-50357.055779999988</v>
      </c>
      <c r="P67" s="277">
        <f t="shared" si="15"/>
        <v>-50357.055779999988</v>
      </c>
      <c r="Q67" s="277">
        <f t="shared" si="15"/>
        <v>-50357.055779999988</v>
      </c>
      <c r="R67" s="277">
        <f t="shared" si="15"/>
        <v>-50357.055779999988</v>
      </c>
      <c r="S67" s="277">
        <f t="shared" si="15"/>
        <v>-50357.055779999988</v>
      </c>
      <c r="T67" s="277">
        <f t="shared" si="15"/>
        <v>-50357.055779999988</v>
      </c>
      <c r="U67" s="277">
        <f t="shared" si="15"/>
        <v>-50357.055779999988</v>
      </c>
      <c r="V67" s="277">
        <f t="shared" si="15"/>
        <v>-50357.055779999988</v>
      </c>
      <c r="W67" s="277">
        <f t="shared" si="15"/>
        <v>-50357.055779999988</v>
      </c>
      <c r="X67" s="277">
        <f t="shared" si="15"/>
        <v>-50357.055779999988</v>
      </c>
      <c r="Y67" s="277">
        <f t="shared" si="15"/>
        <v>-50357.055779999988</v>
      </c>
      <c r="Z67" s="277">
        <f t="shared" si="15"/>
        <v>-50357.055779999988</v>
      </c>
      <c r="AA67" s="277">
        <f t="shared" si="15"/>
        <v>-50357.055779999988</v>
      </c>
      <c r="AB67" s="277">
        <f t="shared" si="15"/>
        <v>-50357.055779999988</v>
      </c>
      <c r="AC67" s="277">
        <f t="shared" si="15"/>
        <v>-50357.055779999988</v>
      </c>
      <c r="AD67" s="277">
        <f t="shared" si="15"/>
        <v>-50357.055779999988</v>
      </c>
      <c r="AE67" s="277">
        <f t="shared" si="15"/>
        <v>-50357.055779999988</v>
      </c>
      <c r="AF67" s="277">
        <f t="shared" si="15"/>
        <v>-50357.055779999988</v>
      </c>
      <c r="AG67" s="277">
        <f t="shared" si="15"/>
        <v>-50357.055779999988</v>
      </c>
      <c r="AH67" s="277">
        <f t="shared" si="15"/>
        <v>-50357.055779999988</v>
      </c>
      <c r="AI67" s="277">
        <f t="shared" si="15"/>
        <v>-50357.055779999988</v>
      </c>
      <c r="AJ67" s="277">
        <f t="shared" si="15"/>
        <v>-50357.055779999988</v>
      </c>
      <c r="AK67" s="277">
        <f t="shared" si="15"/>
        <v>-50357.055779999988</v>
      </c>
      <c r="AL67" s="277">
        <f t="shared" si="15"/>
        <v>-50357.055779999988</v>
      </c>
      <c r="AM67" s="277">
        <f t="shared" si="15"/>
        <v>-50357.055779999988</v>
      </c>
      <c r="AN67" s="277">
        <f t="shared" si="15"/>
        <v>-50357.055779999988</v>
      </c>
      <c r="AO67" s="277">
        <f t="shared" si="15"/>
        <v>-50357.055779999988</v>
      </c>
      <c r="AP67" s="277">
        <f t="shared" si="15"/>
        <v>-50357.055779999988</v>
      </c>
      <c r="AQ67" s="234">
        <f>SUM(B67:AA67)/1.18</f>
        <v>-1066886.7749999997</v>
      </c>
      <c r="AR67" s="235">
        <f>SUM(B67:AF67)/1.18</f>
        <v>-1280264.1299999999</v>
      </c>
      <c r="AS67" s="235">
        <f>SUM(B67:AP67)/1.18</f>
        <v>-1707018.8400000003</v>
      </c>
    </row>
    <row r="68" spans="1:45" ht="28.5" x14ac:dyDescent="0.2">
      <c r="A68" s="232" t="s">
        <v>307</v>
      </c>
      <c r="B68" s="278">
        <f t="shared" ref="B68:J68" si="16">B66+B67</f>
        <v>1515534.91</v>
      </c>
      <c r="C68" s="278">
        <f>C66+C67</f>
        <v>436600.9676151764</v>
      </c>
      <c r="D68" s="278">
        <f>D66+D67</f>
        <v>982432.86513811897</v>
      </c>
      <c r="E68" s="278">
        <f t="shared" si="16"/>
        <v>1589844.908896175</v>
      </c>
      <c r="F68" s="278">
        <f>F66+C67</f>
        <v>1658733.3914125743</v>
      </c>
      <c r="G68" s="278">
        <f t="shared" si="16"/>
        <v>1730515.1901946624</v>
      </c>
      <c r="H68" s="278">
        <f t="shared" si="16"/>
        <v>1805311.8245255982</v>
      </c>
      <c r="I68" s="278">
        <f t="shared" si="16"/>
        <v>1883249.9174984335</v>
      </c>
      <c r="J68" s="278">
        <f t="shared" si="16"/>
        <v>1964461.4103761278</v>
      </c>
      <c r="K68" s="278">
        <f>K66+K67</f>
        <v>2049083.7859546854</v>
      </c>
      <c r="L68" s="278">
        <f>L66+L67</f>
        <v>2137260.3013075422</v>
      </c>
      <c r="M68" s="278">
        <f t="shared" ref="M68:AO68" si="17">M66+M67</f>
        <v>2229140.2303052191</v>
      </c>
      <c r="N68" s="278">
        <f t="shared" si="17"/>
        <v>2324879.1163207986</v>
      </c>
      <c r="O68" s="278">
        <f t="shared" si="17"/>
        <v>2424639.0355490325</v>
      </c>
      <c r="P68" s="278">
        <f t="shared" si="17"/>
        <v>2528588.8713848516</v>
      </c>
      <c r="Q68" s="278">
        <f t="shared" si="17"/>
        <v>2636904.6003257753</v>
      </c>
      <c r="R68" s="278">
        <f t="shared" si="17"/>
        <v>2749769.5898822178</v>
      </c>
      <c r="S68" s="278">
        <f t="shared" si="17"/>
        <v>2867374.9090000312</v>
      </c>
      <c r="T68" s="278">
        <f t="shared" si="17"/>
        <v>2989919.6515207929</v>
      </c>
      <c r="U68" s="278">
        <f t="shared" si="17"/>
        <v>3117611.2732274262</v>
      </c>
      <c r="V68" s="278">
        <f t="shared" si="17"/>
        <v>3250665.9430457382</v>
      </c>
      <c r="W68" s="278">
        <f t="shared" si="17"/>
        <v>3389308.908996419</v>
      </c>
      <c r="X68" s="278">
        <f t="shared" si="17"/>
        <v>3533774.8795170295</v>
      </c>
      <c r="Y68" s="278">
        <f t="shared" si="17"/>
        <v>3684308.4207995045</v>
      </c>
      <c r="Z68" s="278">
        <f t="shared" si="17"/>
        <v>3841164.3708158438</v>
      </c>
      <c r="AA68" s="278">
        <f t="shared" si="17"/>
        <v>4004608.2707328694</v>
      </c>
      <c r="AB68" s="278">
        <f t="shared" si="17"/>
        <v>4174916.8144464102</v>
      </c>
      <c r="AC68" s="278">
        <f t="shared" si="17"/>
        <v>4352378.3169959197</v>
      </c>
      <c r="AD68" s="278">
        <f t="shared" si="17"/>
        <v>4537293.2026525093</v>
      </c>
      <c r="AE68" s="278">
        <f t="shared" si="17"/>
        <v>4729974.5135066742</v>
      </c>
      <c r="AF68" s="278">
        <f t="shared" si="17"/>
        <v>4930748.4394167149</v>
      </c>
      <c r="AG68" s="278">
        <f t="shared" si="17"/>
        <v>5139954.8702149782</v>
      </c>
      <c r="AH68" s="278">
        <f t="shared" si="17"/>
        <v>5357947.9711067658</v>
      </c>
      <c r="AI68" s="278">
        <f t="shared" si="17"/>
        <v>5585096.7822360108</v>
      </c>
      <c r="AJ68" s="278">
        <f t="shared" si="17"/>
        <v>5821785.8434326826</v>
      </c>
      <c r="AK68" s="278">
        <f t="shared" si="17"/>
        <v>6068415.8451996148</v>
      </c>
      <c r="AL68" s="278">
        <f t="shared" si="17"/>
        <v>6325404.3070407584</v>
      </c>
      <c r="AM68" s="278">
        <f t="shared" si="17"/>
        <v>6593186.284279231</v>
      </c>
      <c r="AN68" s="278">
        <f t="shared" si="17"/>
        <v>6872215.10456172</v>
      </c>
      <c r="AO68" s="278">
        <f t="shared" si="17"/>
        <v>7162963.1352960728</v>
      </c>
      <c r="AP68" s="278">
        <f>AP66+AP67</f>
        <v>7465922.5833212696</v>
      </c>
      <c r="AQ68" s="178">
        <v>25</v>
      </c>
      <c r="AR68" s="178">
        <v>30</v>
      </c>
      <c r="AS68" s="178">
        <v>40</v>
      </c>
    </row>
    <row r="69" spans="1:45" x14ac:dyDescent="0.2">
      <c r="A69" s="231" t="s">
        <v>305</v>
      </c>
      <c r="B69" s="277">
        <f t="shared" ref="B69:AO69" si="18">-B56</f>
        <v>0</v>
      </c>
      <c r="C69" s="277">
        <f t="shared" si="18"/>
        <v>0</v>
      </c>
      <c r="D69" s="277">
        <f t="shared" si="18"/>
        <v>0</v>
      </c>
      <c r="E69" s="277">
        <f t="shared" si="18"/>
        <v>0</v>
      </c>
      <c r="F69" s="277">
        <f t="shared" si="18"/>
        <v>0</v>
      </c>
      <c r="G69" s="277">
        <f t="shared" si="18"/>
        <v>0</v>
      </c>
      <c r="H69" s="277">
        <f t="shared" si="18"/>
        <v>0</v>
      </c>
      <c r="I69" s="277">
        <f t="shared" si="18"/>
        <v>0</v>
      </c>
      <c r="J69" s="277">
        <f t="shared" si="18"/>
        <v>0</v>
      </c>
      <c r="K69" s="277">
        <f t="shared" si="18"/>
        <v>0</v>
      </c>
      <c r="L69" s="277">
        <f t="shared" si="18"/>
        <v>0</v>
      </c>
      <c r="M69" s="277">
        <f t="shared" si="18"/>
        <v>0</v>
      </c>
      <c r="N69" s="277">
        <f t="shared" si="18"/>
        <v>0</v>
      </c>
      <c r="O69" s="277">
        <f t="shared" si="18"/>
        <v>0</v>
      </c>
      <c r="P69" s="277">
        <f t="shared" si="18"/>
        <v>0</v>
      </c>
      <c r="Q69" s="277">
        <f t="shared" si="18"/>
        <v>0</v>
      </c>
      <c r="R69" s="277">
        <f t="shared" si="18"/>
        <v>0</v>
      </c>
      <c r="S69" s="277">
        <f t="shared" si="18"/>
        <v>0</v>
      </c>
      <c r="T69" s="277">
        <f t="shared" si="18"/>
        <v>0</v>
      </c>
      <c r="U69" s="277">
        <f t="shared" si="18"/>
        <v>0</v>
      </c>
      <c r="V69" s="277">
        <f t="shared" si="18"/>
        <v>0</v>
      </c>
      <c r="W69" s="277">
        <f t="shared" si="18"/>
        <v>0</v>
      </c>
      <c r="X69" s="277">
        <f t="shared" si="18"/>
        <v>0</v>
      </c>
      <c r="Y69" s="277">
        <f t="shared" si="18"/>
        <v>0</v>
      </c>
      <c r="Z69" s="277">
        <f t="shared" si="18"/>
        <v>0</v>
      </c>
      <c r="AA69" s="277">
        <f t="shared" si="18"/>
        <v>0</v>
      </c>
      <c r="AB69" s="277">
        <f t="shared" si="18"/>
        <v>0</v>
      </c>
      <c r="AC69" s="277">
        <f t="shared" si="18"/>
        <v>0</v>
      </c>
      <c r="AD69" s="277">
        <f t="shared" si="18"/>
        <v>0</v>
      </c>
      <c r="AE69" s="277">
        <f t="shared" si="18"/>
        <v>0</v>
      </c>
      <c r="AF69" s="277">
        <f t="shared" si="18"/>
        <v>0</v>
      </c>
      <c r="AG69" s="277">
        <f t="shared" si="18"/>
        <v>0</v>
      </c>
      <c r="AH69" s="277">
        <f t="shared" si="18"/>
        <v>0</v>
      </c>
      <c r="AI69" s="277">
        <f t="shared" si="18"/>
        <v>0</v>
      </c>
      <c r="AJ69" s="277">
        <f t="shared" si="18"/>
        <v>0</v>
      </c>
      <c r="AK69" s="277">
        <f t="shared" si="18"/>
        <v>0</v>
      </c>
      <c r="AL69" s="277">
        <f t="shared" si="18"/>
        <v>0</v>
      </c>
      <c r="AM69" s="277">
        <f t="shared" si="18"/>
        <v>0</v>
      </c>
      <c r="AN69" s="277">
        <f t="shared" si="18"/>
        <v>0</v>
      </c>
      <c r="AO69" s="277">
        <f t="shared" si="18"/>
        <v>0</v>
      </c>
      <c r="AP69" s="277">
        <f>-AP56</f>
        <v>0</v>
      </c>
    </row>
    <row r="70" spans="1:45" ht="14.25" x14ac:dyDescent="0.2">
      <c r="A70" s="232" t="s">
        <v>310</v>
      </c>
      <c r="B70" s="278">
        <f t="shared" ref="B70:AO70" si="19">B68+B69</f>
        <v>1515534.91</v>
      </c>
      <c r="C70" s="278">
        <f t="shared" si="19"/>
        <v>436600.9676151764</v>
      </c>
      <c r="D70" s="278">
        <f t="shared" si="19"/>
        <v>982432.86513811897</v>
      </c>
      <c r="E70" s="278">
        <f t="shared" si="19"/>
        <v>1589844.908896175</v>
      </c>
      <c r="F70" s="278">
        <f t="shared" si="19"/>
        <v>1658733.3914125743</v>
      </c>
      <c r="G70" s="278">
        <f t="shared" si="19"/>
        <v>1730515.1901946624</v>
      </c>
      <c r="H70" s="278">
        <f t="shared" si="19"/>
        <v>1805311.8245255982</v>
      </c>
      <c r="I70" s="278">
        <f t="shared" si="19"/>
        <v>1883249.9174984335</v>
      </c>
      <c r="J70" s="278">
        <f t="shared" si="19"/>
        <v>1964461.4103761278</v>
      </c>
      <c r="K70" s="278">
        <f t="shared" si="19"/>
        <v>2049083.7859546854</v>
      </c>
      <c r="L70" s="278">
        <f t="shared" si="19"/>
        <v>2137260.3013075422</v>
      </c>
      <c r="M70" s="278">
        <f t="shared" si="19"/>
        <v>2229140.2303052191</v>
      </c>
      <c r="N70" s="278">
        <f t="shared" si="19"/>
        <v>2324879.1163207986</v>
      </c>
      <c r="O70" s="278">
        <f t="shared" si="19"/>
        <v>2424639.0355490325</v>
      </c>
      <c r="P70" s="278">
        <f t="shared" si="19"/>
        <v>2528588.8713848516</v>
      </c>
      <c r="Q70" s="278">
        <f t="shared" si="19"/>
        <v>2636904.6003257753</v>
      </c>
      <c r="R70" s="278">
        <f t="shared" si="19"/>
        <v>2749769.5898822178</v>
      </c>
      <c r="S70" s="278">
        <f t="shared" si="19"/>
        <v>2867374.9090000312</v>
      </c>
      <c r="T70" s="278">
        <f t="shared" si="19"/>
        <v>2989919.6515207929</v>
      </c>
      <c r="U70" s="278">
        <f t="shared" si="19"/>
        <v>3117611.2732274262</v>
      </c>
      <c r="V70" s="278">
        <f t="shared" si="19"/>
        <v>3250665.9430457382</v>
      </c>
      <c r="W70" s="278">
        <f t="shared" si="19"/>
        <v>3389308.908996419</v>
      </c>
      <c r="X70" s="278">
        <f t="shared" si="19"/>
        <v>3533774.8795170295</v>
      </c>
      <c r="Y70" s="278">
        <f t="shared" si="19"/>
        <v>3684308.4207995045</v>
      </c>
      <c r="Z70" s="278">
        <f t="shared" si="19"/>
        <v>3841164.3708158438</v>
      </c>
      <c r="AA70" s="278">
        <f t="shared" si="19"/>
        <v>4004608.2707328694</v>
      </c>
      <c r="AB70" s="278">
        <f t="shared" si="19"/>
        <v>4174916.8144464102</v>
      </c>
      <c r="AC70" s="278">
        <f t="shared" si="19"/>
        <v>4352378.3169959197</v>
      </c>
      <c r="AD70" s="278">
        <f t="shared" si="19"/>
        <v>4537293.2026525093</v>
      </c>
      <c r="AE70" s="278">
        <f t="shared" si="19"/>
        <v>4729974.5135066742</v>
      </c>
      <c r="AF70" s="278">
        <f t="shared" si="19"/>
        <v>4930748.4394167149</v>
      </c>
      <c r="AG70" s="278">
        <f t="shared" si="19"/>
        <v>5139954.8702149782</v>
      </c>
      <c r="AH70" s="278">
        <f t="shared" si="19"/>
        <v>5357947.9711067658</v>
      </c>
      <c r="AI70" s="278">
        <f t="shared" si="19"/>
        <v>5585096.7822360108</v>
      </c>
      <c r="AJ70" s="278">
        <f t="shared" si="19"/>
        <v>5821785.8434326826</v>
      </c>
      <c r="AK70" s="278">
        <f t="shared" si="19"/>
        <v>6068415.8451996148</v>
      </c>
      <c r="AL70" s="278">
        <f t="shared" si="19"/>
        <v>6325404.3070407584</v>
      </c>
      <c r="AM70" s="278">
        <f t="shared" si="19"/>
        <v>6593186.284279231</v>
      </c>
      <c r="AN70" s="278">
        <f t="shared" si="19"/>
        <v>6872215.10456172</v>
      </c>
      <c r="AO70" s="278">
        <f t="shared" si="19"/>
        <v>7162963.1352960728</v>
      </c>
      <c r="AP70" s="278">
        <f>AP68+AP69</f>
        <v>7465922.5833212696</v>
      </c>
    </row>
    <row r="71" spans="1:45" x14ac:dyDescent="0.2">
      <c r="A71" s="231" t="s">
        <v>304</v>
      </c>
      <c r="B71" s="277">
        <f t="shared" ref="B71:AP71" si="20">-B70*$B$36</f>
        <v>-303106.98200000002</v>
      </c>
      <c r="C71" s="277">
        <f t="shared" si="20"/>
        <v>-87320.193523035283</v>
      </c>
      <c r="D71" s="277">
        <f t="shared" si="20"/>
        <v>-196486.57302762382</v>
      </c>
      <c r="E71" s="277">
        <f t="shared" si="20"/>
        <v>-317968.98177923501</v>
      </c>
      <c r="F71" s="277">
        <f t="shared" si="20"/>
        <v>-331746.67828251491</v>
      </c>
      <c r="G71" s="277">
        <f t="shared" si="20"/>
        <v>-346103.03803893249</v>
      </c>
      <c r="H71" s="277">
        <f t="shared" si="20"/>
        <v>-361062.36490511964</v>
      </c>
      <c r="I71" s="277">
        <f t="shared" si="20"/>
        <v>-376649.9834996867</v>
      </c>
      <c r="J71" s="277">
        <f t="shared" si="20"/>
        <v>-392892.28207522561</v>
      </c>
      <c r="K71" s="277">
        <f t="shared" si="20"/>
        <v>-409816.75719093712</v>
      </c>
      <c r="L71" s="277">
        <f t="shared" si="20"/>
        <v>-427452.06026150845</v>
      </c>
      <c r="M71" s="277">
        <f t="shared" si="20"/>
        <v>-445828.04606104386</v>
      </c>
      <c r="N71" s="277">
        <f t="shared" si="20"/>
        <v>-464975.82326415973</v>
      </c>
      <c r="O71" s="277">
        <f t="shared" si="20"/>
        <v>-484927.80710980651</v>
      </c>
      <c r="P71" s="277">
        <f t="shared" si="20"/>
        <v>-505717.77427697036</v>
      </c>
      <c r="Q71" s="277">
        <f t="shared" si="20"/>
        <v>-527380.92006515514</v>
      </c>
      <c r="R71" s="277">
        <f t="shared" si="20"/>
        <v>-549953.91797644354</v>
      </c>
      <c r="S71" s="277">
        <f t="shared" si="20"/>
        <v>-573474.98180000624</v>
      </c>
      <c r="T71" s="277">
        <f t="shared" si="20"/>
        <v>-597983.9303041586</v>
      </c>
      <c r="U71" s="277">
        <f t="shared" si="20"/>
        <v>-623522.25464548531</v>
      </c>
      <c r="V71" s="277">
        <f t="shared" si="20"/>
        <v>-650133.18860914768</v>
      </c>
      <c r="W71" s="277">
        <f t="shared" si="20"/>
        <v>-677861.78179928381</v>
      </c>
      <c r="X71" s="277">
        <f t="shared" si="20"/>
        <v>-706754.97590340592</v>
      </c>
      <c r="Y71" s="277">
        <f t="shared" si="20"/>
        <v>-736861.68415990099</v>
      </c>
      <c r="Z71" s="277">
        <f t="shared" si="20"/>
        <v>-768232.87416316883</v>
      </c>
      <c r="AA71" s="277">
        <f t="shared" si="20"/>
        <v>-800921.65414657397</v>
      </c>
      <c r="AB71" s="277">
        <f t="shared" si="20"/>
        <v>-834983.36288928206</v>
      </c>
      <c r="AC71" s="277">
        <f t="shared" si="20"/>
        <v>-870475.66339918401</v>
      </c>
      <c r="AD71" s="277">
        <f t="shared" si="20"/>
        <v>-907458.64053050196</v>
      </c>
      <c r="AE71" s="277">
        <f t="shared" si="20"/>
        <v>-945994.90270133491</v>
      </c>
      <c r="AF71" s="277">
        <f t="shared" si="20"/>
        <v>-986149.68788334308</v>
      </c>
      <c r="AG71" s="277">
        <f t="shared" si="20"/>
        <v>-1027990.9740429957</v>
      </c>
      <c r="AH71" s="277">
        <f t="shared" si="20"/>
        <v>-1071589.5942213533</v>
      </c>
      <c r="AI71" s="277">
        <f t="shared" si="20"/>
        <v>-1117019.3564472022</v>
      </c>
      <c r="AJ71" s="277">
        <f t="shared" si="20"/>
        <v>-1164357.1686865366</v>
      </c>
      <c r="AK71" s="277">
        <f t="shared" si="20"/>
        <v>-1213683.169039923</v>
      </c>
      <c r="AL71" s="277">
        <f t="shared" si="20"/>
        <v>-1265080.8614081517</v>
      </c>
      <c r="AM71" s="277">
        <f t="shared" si="20"/>
        <v>-1318637.2568558464</v>
      </c>
      <c r="AN71" s="277">
        <f t="shared" si="20"/>
        <v>-1374443.0209123441</v>
      </c>
      <c r="AO71" s="277">
        <f t="shared" si="20"/>
        <v>-1432592.6270592147</v>
      </c>
      <c r="AP71" s="277">
        <f t="shared" si="20"/>
        <v>-1493184.516664254</v>
      </c>
    </row>
    <row r="72" spans="1:45" ht="15" thickBot="1" x14ac:dyDescent="0.25">
      <c r="A72" s="236" t="s">
        <v>309</v>
      </c>
      <c r="B72" s="237">
        <f t="shared" ref="B72:AO72" si="21">B70+B71</f>
        <v>1212427.9279999998</v>
      </c>
      <c r="C72" s="237">
        <f t="shared" si="21"/>
        <v>349280.77409214113</v>
      </c>
      <c r="D72" s="237">
        <f t="shared" si="21"/>
        <v>785946.29211049515</v>
      </c>
      <c r="E72" s="237">
        <f t="shared" si="21"/>
        <v>1271875.92711694</v>
      </c>
      <c r="F72" s="237">
        <f t="shared" si="21"/>
        <v>1326986.7131300594</v>
      </c>
      <c r="G72" s="237">
        <f t="shared" si="21"/>
        <v>1384412.1521557299</v>
      </c>
      <c r="H72" s="237">
        <f t="shared" si="21"/>
        <v>1444249.4596204786</v>
      </c>
      <c r="I72" s="237">
        <f t="shared" si="21"/>
        <v>1506599.9339987468</v>
      </c>
      <c r="J72" s="237">
        <f t="shared" si="21"/>
        <v>1571569.1283009022</v>
      </c>
      <c r="K72" s="237">
        <f t="shared" si="21"/>
        <v>1639267.0287637482</v>
      </c>
      <c r="L72" s="237">
        <f t="shared" si="21"/>
        <v>1709808.2410460338</v>
      </c>
      <c r="M72" s="237">
        <f t="shared" si="21"/>
        <v>1783312.1842441752</v>
      </c>
      <c r="N72" s="237">
        <f t="shared" si="21"/>
        <v>1859903.2930566389</v>
      </c>
      <c r="O72" s="237">
        <f t="shared" si="21"/>
        <v>1939711.228439226</v>
      </c>
      <c r="P72" s="237">
        <f t="shared" si="21"/>
        <v>2022871.0971078812</v>
      </c>
      <c r="Q72" s="237">
        <f t="shared" si="21"/>
        <v>2109523.6802606201</v>
      </c>
      <c r="R72" s="237">
        <f t="shared" si="21"/>
        <v>2199815.6719057742</v>
      </c>
      <c r="S72" s="237">
        <f t="shared" si="21"/>
        <v>2293899.9272000249</v>
      </c>
      <c r="T72" s="237">
        <f t="shared" si="21"/>
        <v>2391935.7212166344</v>
      </c>
      <c r="U72" s="237">
        <f t="shared" si="21"/>
        <v>2494089.0185819408</v>
      </c>
      <c r="V72" s="237">
        <f t="shared" si="21"/>
        <v>2600532.7544365907</v>
      </c>
      <c r="W72" s="237">
        <f t="shared" si="21"/>
        <v>2711447.1271971352</v>
      </c>
      <c r="X72" s="237">
        <f t="shared" si="21"/>
        <v>2827019.9036136237</v>
      </c>
      <c r="Y72" s="237">
        <f t="shared" si="21"/>
        <v>2947446.7366396035</v>
      </c>
      <c r="Z72" s="237">
        <f t="shared" si="21"/>
        <v>3072931.4966526749</v>
      </c>
      <c r="AA72" s="237">
        <f t="shared" si="21"/>
        <v>3203686.6165862954</v>
      </c>
      <c r="AB72" s="237">
        <f t="shared" si="21"/>
        <v>3339933.4515571282</v>
      </c>
      <c r="AC72" s="237">
        <f t="shared" si="21"/>
        <v>3481902.6535967356</v>
      </c>
      <c r="AD72" s="237">
        <f t="shared" si="21"/>
        <v>3629834.5621220074</v>
      </c>
      <c r="AE72" s="237">
        <f t="shared" si="21"/>
        <v>3783979.6108053392</v>
      </c>
      <c r="AF72" s="237">
        <f t="shared" si="21"/>
        <v>3944598.7515333719</v>
      </c>
      <c r="AG72" s="237">
        <f t="shared" si="21"/>
        <v>4111963.8961719824</v>
      </c>
      <c r="AH72" s="237">
        <f t="shared" si="21"/>
        <v>4286358.3768854123</v>
      </c>
      <c r="AI72" s="237">
        <f t="shared" si="21"/>
        <v>4468077.4257888086</v>
      </c>
      <c r="AJ72" s="237">
        <f t="shared" si="21"/>
        <v>4657428.6747461464</v>
      </c>
      <c r="AK72" s="237">
        <f t="shared" si="21"/>
        <v>4854732.676159692</v>
      </c>
      <c r="AL72" s="237">
        <f t="shared" si="21"/>
        <v>5060323.4456326067</v>
      </c>
      <c r="AM72" s="237">
        <f t="shared" si="21"/>
        <v>5274549.0274233846</v>
      </c>
      <c r="AN72" s="237">
        <f t="shared" si="21"/>
        <v>5497772.0836493764</v>
      </c>
      <c r="AO72" s="237">
        <f t="shared" si="21"/>
        <v>5730370.5082368581</v>
      </c>
      <c r="AP72" s="237">
        <f>AP70+AP71</f>
        <v>5972738.0666570161</v>
      </c>
    </row>
    <row r="73" spans="1:45" s="239" customFormat="1" ht="16.5" thickBot="1" x14ac:dyDescent="0.25">
      <c r="A73" s="227"/>
      <c r="B73" s="238">
        <f>E141</f>
        <v>1.5</v>
      </c>
      <c r="C73" s="238">
        <f t="shared" ref="C73:AP73" si="22">F141</f>
        <v>2.5</v>
      </c>
      <c r="D73" s="238">
        <f t="shared" si="22"/>
        <v>3.5</v>
      </c>
      <c r="E73" s="238">
        <f t="shared" si="22"/>
        <v>4.5</v>
      </c>
      <c r="F73" s="238">
        <f t="shared" si="22"/>
        <v>5.5</v>
      </c>
      <c r="G73" s="238">
        <f t="shared" si="22"/>
        <v>6.5</v>
      </c>
      <c r="H73" s="238">
        <f t="shared" si="22"/>
        <v>7.5</v>
      </c>
      <c r="I73" s="238">
        <f t="shared" si="22"/>
        <v>8.5</v>
      </c>
      <c r="J73" s="238">
        <f t="shared" si="22"/>
        <v>9.5</v>
      </c>
      <c r="K73" s="238">
        <f t="shared" si="22"/>
        <v>10.5</v>
      </c>
      <c r="L73" s="238">
        <f t="shared" si="22"/>
        <v>11.5</v>
      </c>
      <c r="M73" s="238">
        <f t="shared" si="22"/>
        <v>12.5</v>
      </c>
      <c r="N73" s="238">
        <f t="shared" si="22"/>
        <v>13.5</v>
      </c>
      <c r="O73" s="238">
        <f t="shared" si="22"/>
        <v>14.5</v>
      </c>
      <c r="P73" s="238">
        <f t="shared" si="22"/>
        <v>15.5</v>
      </c>
      <c r="Q73" s="238">
        <f t="shared" si="22"/>
        <v>16.5</v>
      </c>
      <c r="R73" s="238">
        <f t="shared" si="22"/>
        <v>17.5</v>
      </c>
      <c r="S73" s="238">
        <f t="shared" si="22"/>
        <v>18.5</v>
      </c>
      <c r="T73" s="238">
        <f t="shared" si="22"/>
        <v>19.5</v>
      </c>
      <c r="U73" s="238">
        <f t="shared" si="22"/>
        <v>20.5</v>
      </c>
      <c r="V73" s="238">
        <f t="shared" si="22"/>
        <v>21.5</v>
      </c>
      <c r="W73" s="238">
        <f t="shared" si="22"/>
        <v>22.5</v>
      </c>
      <c r="X73" s="238">
        <f t="shared" si="22"/>
        <v>23.5</v>
      </c>
      <c r="Y73" s="238">
        <f t="shared" si="22"/>
        <v>24.5</v>
      </c>
      <c r="Z73" s="238">
        <f t="shared" si="22"/>
        <v>25.5</v>
      </c>
      <c r="AA73" s="238">
        <f t="shared" si="22"/>
        <v>26.5</v>
      </c>
      <c r="AB73" s="238">
        <f t="shared" si="22"/>
        <v>27.5</v>
      </c>
      <c r="AC73" s="238">
        <f t="shared" si="22"/>
        <v>28.5</v>
      </c>
      <c r="AD73" s="238">
        <f t="shared" si="22"/>
        <v>29.5</v>
      </c>
      <c r="AE73" s="238">
        <f t="shared" si="22"/>
        <v>30.5</v>
      </c>
      <c r="AF73" s="238">
        <f t="shared" si="22"/>
        <v>31.5</v>
      </c>
      <c r="AG73" s="238">
        <f t="shared" si="22"/>
        <v>32.5</v>
      </c>
      <c r="AH73" s="238">
        <f t="shared" si="22"/>
        <v>33.5</v>
      </c>
      <c r="AI73" s="238">
        <f t="shared" si="22"/>
        <v>34.5</v>
      </c>
      <c r="AJ73" s="238">
        <f t="shared" si="22"/>
        <v>35.5</v>
      </c>
      <c r="AK73" s="238">
        <f t="shared" si="22"/>
        <v>36.5</v>
      </c>
      <c r="AL73" s="238">
        <f t="shared" si="22"/>
        <v>37.5</v>
      </c>
      <c r="AM73" s="238">
        <f t="shared" si="22"/>
        <v>38.5</v>
      </c>
      <c r="AN73" s="238">
        <f t="shared" si="22"/>
        <v>39.5</v>
      </c>
      <c r="AO73" s="238">
        <f t="shared" si="22"/>
        <v>40.5</v>
      </c>
      <c r="AP73" s="238">
        <f t="shared" si="22"/>
        <v>41.5</v>
      </c>
      <c r="AQ73" s="178"/>
      <c r="AR73" s="178"/>
      <c r="AS73" s="178"/>
    </row>
    <row r="74" spans="1:45" x14ac:dyDescent="0.2">
      <c r="A74" s="222" t="s">
        <v>308</v>
      </c>
      <c r="B74" s="223">
        <f t="shared" ref="B74:AO74" si="23">B58</f>
        <v>1</v>
      </c>
      <c r="C74" s="223">
        <f t="shared" si="23"/>
        <v>2</v>
      </c>
      <c r="D74" s="223">
        <f t="shared" si="23"/>
        <v>3</v>
      </c>
      <c r="E74" s="223">
        <f t="shared" si="23"/>
        <v>4</v>
      </c>
      <c r="F74" s="223">
        <f t="shared" si="23"/>
        <v>5</v>
      </c>
      <c r="G74" s="223">
        <f t="shared" si="23"/>
        <v>6</v>
      </c>
      <c r="H74" s="223">
        <f t="shared" si="23"/>
        <v>7</v>
      </c>
      <c r="I74" s="223">
        <f t="shared" si="23"/>
        <v>8</v>
      </c>
      <c r="J74" s="223">
        <f t="shared" si="23"/>
        <v>9</v>
      </c>
      <c r="K74" s="223">
        <f t="shared" si="23"/>
        <v>10</v>
      </c>
      <c r="L74" s="223">
        <f t="shared" si="23"/>
        <v>11</v>
      </c>
      <c r="M74" s="223">
        <f t="shared" si="23"/>
        <v>12</v>
      </c>
      <c r="N74" s="223">
        <f t="shared" si="23"/>
        <v>13</v>
      </c>
      <c r="O74" s="223">
        <f t="shared" si="23"/>
        <v>14</v>
      </c>
      <c r="P74" s="223">
        <f t="shared" si="23"/>
        <v>15</v>
      </c>
      <c r="Q74" s="223">
        <f t="shared" si="23"/>
        <v>16</v>
      </c>
      <c r="R74" s="223">
        <f t="shared" si="23"/>
        <v>17</v>
      </c>
      <c r="S74" s="223">
        <f t="shared" si="23"/>
        <v>18</v>
      </c>
      <c r="T74" s="223">
        <f t="shared" si="23"/>
        <v>19</v>
      </c>
      <c r="U74" s="223">
        <f t="shared" si="23"/>
        <v>20</v>
      </c>
      <c r="V74" s="223">
        <f t="shared" si="23"/>
        <v>21</v>
      </c>
      <c r="W74" s="223">
        <f t="shared" si="23"/>
        <v>22</v>
      </c>
      <c r="X74" s="223">
        <f t="shared" si="23"/>
        <v>23</v>
      </c>
      <c r="Y74" s="223">
        <f t="shared" si="23"/>
        <v>24</v>
      </c>
      <c r="Z74" s="223">
        <f t="shared" si="23"/>
        <v>25</v>
      </c>
      <c r="AA74" s="223">
        <f t="shared" si="23"/>
        <v>26</v>
      </c>
      <c r="AB74" s="223">
        <f t="shared" si="23"/>
        <v>27</v>
      </c>
      <c r="AC74" s="223">
        <f t="shared" si="23"/>
        <v>28</v>
      </c>
      <c r="AD74" s="223">
        <f t="shared" si="23"/>
        <v>29</v>
      </c>
      <c r="AE74" s="223">
        <f t="shared" si="23"/>
        <v>30</v>
      </c>
      <c r="AF74" s="223">
        <f t="shared" si="23"/>
        <v>31</v>
      </c>
      <c r="AG74" s="223">
        <f t="shared" si="23"/>
        <v>32</v>
      </c>
      <c r="AH74" s="223">
        <f t="shared" si="23"/>
        <v>33</v>
      </c>
      <c r="AI74" s="223">
        <f t="shared" si="23"/>
        <v>34</v>
      </c>
      <c r="AJ74" s="223">
        <f t="shared" si="23"/>
        <v>35</v>
      </c>
      <c r="AK74" s="223">
        <f t="shared" si="23"/>
        <v>36</v>
      </c>
      <c r="AL74" s="223">
        <f t="shared" si="23"/>
        <v>37</v>
      </c>
      <c r="AM74" s="223">
        <f t="shared" si="23"/>
        <v>38</v>
      </c>
      <c r="AN74" s="223">
        <f t="shared" si="23"/>
        <v>39</v>
      </c>
      <c r="AO74" s="223">
        <f t="shared" si="23"/>
        <v>40</v>
      </c>
      <c r="AP74" s="223">
        <f>AP58</f>
        <v>41</v>
      </c>
    </row>
    <row r="75" spans="1:45" ht="28.5" x14ac:dyDescent="0.2">
      <c r="A75" s="230" t="s">
        <v>307</v>
      </c>
      <c r="B75" s="278">
        <f t="shared" ref="B75:AO75" si="24">B68</f>
        <v>1515534.91</v>
      </c>
      <c r="C75" s="278">
        <f t="shared" si="24"/>
        <v>436600.9676151764</v>
      </c>
      <c r="D75" s="278">
        <f>D68</f>
        <v>982432.86513811897</v>
      </c>
      <c r="E75" s="278">
        <f t="shared" si="24"/>
        <v>1589844.908896175</v>
      </c>
      <c r="F75" s="278">
        <f t="shared" si="24"/>
        <v>1658733.3914125743</v>
      </c>
      <c r="G75" s="278">
        <f t="shared" si="24"/>
        <v>1730515.1901946624</v>
      </c>
      <c r="H75" s="278">
        <f t="shared" si="24"/>
        <v>1805311.8245255982</v>
      </c>
      <c r="I75" s="278">
        <f t="shared" si="24"/>
        <v>1883249.9174984335</v>
      </c>
      <c r="J75" s="278">
        <f t="shared" si="24"/>
        <v>1964461.4103761278</v>
      </c>
      <c r="K75" s="278">
        <f t="shared" si="24"/>
        <v>2049083.7859546854</v>
      </c>
      <c r="L75" s="278">
        <f t="shared" si="24"/>
        <v>2137260.3013075422</v>
      </c>
      <c r="M75" s="278">
        <f t="shared" si="24"/>
        <v>2229140.2303052191</v>
      </c>
      <c r="N75" s="278">
        <f t="shared" si="24"/>
        <v>2324879.1163207986</v>
      </c>
      <c r="O75" s="278">
        <f t="shared" si="24"/>
        <v>2424639.0355490325</v>
      </c>
      <c r="P75" s="278">
        <f t="shared" si="24"/>
        <v>2528588.8713848516</v>
      </c>
      <c r="Q75" s="278">
        <f t="shared" si="24"/>
        <v>2636904.6003257753</v>
      </c>
      <c r="R75" s="278">
        <f t="shared" si="24"/>
        <v>2749769.5898822178</v>
      </c>
      <c r="S75" s="278">
        <f t="shared" si="24"/>
        <v>2867374.9090000312</v>
      </c>
      <c r="T75" s="278">
        <f t="shared" si="24"/>
        <v>2989919.6515207929</v>
      </c>
      <c r="U75" s="278">
        <f t="shared" si="24"/>
        <v>3117611.2732274262</v>
      </c>
      <c r="V75" s="278">
        <f t="shared" si="24"/>
        <v>3250665.9430457382</v>
      </c>
      <c r="W75" s="278">
        <f t="shared" si="24"/>
        <v>3389308.908996419</v>
      </c>
      <c r="X75" s="278">
        <f t="shared" si="24"/>
        <v>3533774.8795170295</v>
      </c>
      <c r="Y75" s="278">
        <f t="shared" si="24"/>
        <v>3684308.4207995045</v>
      </c>
      <c r="Z75" s="278">
        <f t="shared" si="24"/>
        <v>3841164.3708158438</v>
      </c>
      <c r="AA75" s="278">
        <f t="shared" si="24"/>
        <v>4004608.2707328694</v>
      </c>
      <c r="AB75" s="278">
        <f t="shared" si="24"/>
        <v>4174916.8144464102</v>
      </c>
      <c r="AC75" s="278">
        <f t="shared" si="24"/>
        <v>4352378.3169959197</v>
      </c>
      <c r="AD75" s="278">
        <f t="shared" si="24"/>
        <v>4537293.2026525093</v>
      </c>
      <c r="AE75" s="278">
        <f t="shared" si="24"/>
        <v>4729974.5135066742</v>
      </c>
      <c r="AF75" s="278">
        <f t="shared" si="24"/>
        <v>4930748.4394167149</v>
      </c>
      <c r="AG75" s="278">
        <f t="shared" si="24"/>
        <v>5139954.8702149782</v>
      </c>
      <c r="AH75" s="278">
        <f t="shared" si="24"/>
        <v>5357947.9711067658</v>
      </c>
      <c r="AI75" s="278">
        <f t="shared" si="24"/>
        <v>5585096.7822360108</v>
      </c>
      <c r="AJ75" s="278">
        <f t="shared" si="24"/>
        <v>5821785.8434326826</v>
      </c>
      <c r="AK75" s="278">
        <f t="shared" si="24"/>
        <v>6068415.8451996148</v>
      </c>
      <c r="AL75" s="278">
        <f t="shared" si="24"/>
        <v>6325404.3070407584</v>
      </c>
      <c r="AM75" s="278">
        <f t="shared" si="24"/>
        <v>6593186.284279231</v>
      </c>
      <c r="AN75" s="278">
        <f t="shared" si="24"/>
        <v>6872215.10456172</v>
      </c>
      <c r="AO75" s="278">
        <f t="shared" si="24"/>
        <v>7162963.1352960728</v>
      </c>
      <c r="AP75" s="278">
        <f>AP68</f>
        <v>7465922.5833212696</v>
      </c>
    </row>
    <row r="76" spans="1:45" x14ac:dyDescent="0.2">
      <c r="A76" s="231" t="s">
        <v>306</v>
      </c>
      <c r="B76" s="277">
        <f t="shared" ref="B76:AO76" si="25">-B67</f>
        <v>0</v>
      </c>
      <c r="C76" s="277">
        <f>-C67</f>
        <v>50357.055779999988</v>
      </c>
      <c r="D76" s="277">
        <f t="shared" si="25"/>
        <v>50357.055779999988</v>
      </c>
      <c r="E76" s="277">
        <f t="shared" si="25"/>
        <v>50357.055779999988</v>
      </c>
      <c r="F76" s="277">
        <f>-C67</f>
        <v>50357.055779999988</v>
      </c>
      <c r="G76" s="277">
        <f t="shared" si="25"/>
        <v>50357.055779999988</v>
      </c>
      <c r="H76" s="277">
        <f t="shared" si="25"/>
        <v>50357.055779999988</v>
      </c>
      <c r="I76" s="277">
        <f t="shared" si="25"/>
        <v>50357.055779999988</v>
      </c>
      <c r="J76" s="277">
        <f t="shared" si="25"/>
        <v>50357.055779999988</v>
      </c>
      <c r="K76" s="277">
        <f t="shared" si="25"/>
        <v>50357.055779999988</v>
      </c>
      <c r="L76" s="277">
        <f>-L67</f>
        <v>50357.055779999988</v>
      </c>
      <c r="M76" s="277">
        <f>-M67</f>
        <v>50357.055779999988</v>
      </c>
      <c r="N76" s="277">
        <f t="shared" si="25"/>
        <v>50357.055779999988</v>
      </c>
      <c r="O76" s="277">
        <f t="shared" si="25"/>
        <v>50357.055779999988</v>
      </c>
      <c r="P76" s="277">
        <f t="shared" si="25"/>
        <v>50357.055779999988</v>
      </c>
      <c r="Q76" s="277">
        <f t="shared" si="25"/>
        <v>50357.055779999988</v>
      </c>
      <c r="R76" s="277">
        <f t="shared" si="25"/>
        <v>50357.055779999988</v>
      </c>
      <c r="S76" s="277">
        <f t="shared" si="25"/>
        <v>50357.055779999988</v>
      </c>
      <c r="T76" s="277">
        <f t="shared" si="25"/>
        <v>50357.055779999988</v>
      </c>
      <c r="U76" s="277">
        <f t="shared" si="25"/>
        <v>50357.055779999988</v>
      </c>
      <c r="V76" s="277">
        <f t="shared" si="25"/>
        <v>50357.055779999988</v>
      </c>
      <c r="W76" s="277">
        <f t="shared" si="25"/>
        <v>50357.055779999988</v>
      </c>
      <c r="X76" s="277">
        <f t="shared" si="25"/>
        <v>50357.055779999988</v>
      </c>
      <c r="Y76" s="277">
        <f t="shared" si="25"/>
        <v>50357.055779999988</v>
      </c>
      <c r="Z76" s="277">
        <f t="shared" si="25"/>
        <v>50357.055779999988</v>
      </c>
      <c r="AA76" s="277">
        <f t="shared" si="25"/>
        <v>50357.055779999988</v>
      </c>
      <c r="AB76" s="277">
        <f t="shared" si="25"/>
        <v>50357.055779999988</v>
      </c>
      <c r="AC76" s="277">
        <f t="shared" si="25"/>
        <v>50357.055779999988</v>
      </c>
      <c r="AD76" s="277">
        <f t="shared" si="25"/>
        <v>50357.055779999988</v>
      </c>
      <c r="AE76" s="277">
        <f t="shared" si="25"/>
        <v>50357.055779999988</v>
      </c>
      <c r="AF76" s="277">
        <f t="shared" si="25"/>
        <v>50357.055779999988</v>
      </c>
      <c r="AG76" s="277">
        <f t="shared" si="25"/>
        <v>50357.055779999988</v>
      </c>
      <c r="AH76" s="277">
        <f t="shared" si="25"/>
        <v>50357.055779999988</v>
      </c>
      <c r="AI76" s="277">
        <f t="shared" si="25"/>
        <v>50357.055779999988</v>
      </c>
      <c r="AJ76" s="277">
        <f t="shared" si="25"/>
        <v>50357.055779999988</v>
      </c>
      <c r="AK76" s="277">
        <f t="shared" si="25"/>
        <v>50357.055779999988</v>
      </c>
      <c r="AL76" s="277">
        <f t="shared" si="25"/>
        <v>50357.055779999988</v>
      </c>
      <c r="AM76" s="277">
        <f t="shared" si="25"/>
        <v>50357.055779999988</v>
      </c>
      <c r="AN76" s="277">
        <f t="shared" si="25"/>
        <v>50357.055779999988</v>
      </c>
      <c r="AO76" s="277">
        <f t="shared" si="25"/>
        <v>50357.055779999988</v>
      </c>
      <c r="AP76" s="277">
        <f>-AP67</f>
        <v>50357.055779999988</v>
      </c>
    </row>
    <row r="77" spans="1:45" x14ac:dyDescent="0.2">
      <c r="A77" s="231" t="s">
        <v>305</v>
      </c>
      <c r="B77" s="277">
        <f t="shared" ref="B77:AO77" si="26">B69</f>
        <v>0</v>
      </c>
      <c r="C77" s="277">
        <f t="shared" si="26"/>
        <v>0</v>
      </c>
      <c r="D77" s="277">
        <f t="shared" si="26"/>
        <v>0</v>
      </c>
      <c r="E77" s="277">
        <f t="shared" si="26"/>
        <v>0</v>
      </c>
      <c r="F77" s="277">
        <f t="shared" si="26"/>
        <v>0</v>
      </c>
      <c r="G77" s="277">
        <f t="shared" si="26"/>
        <v>0</v>
      </c>
      <c r="H77" s="277">
        <f t="shared" si="26"/>
        <v>0</v>
      </c>
      <c r="I77" s="277">
        <f t="shared" si="26"/>
        <v>0</v>
      </c>
      <c r="J77" s="277">
        <f t="shared" si="26"/>
        <v>0</v>
      </c>
      <c r="K77" s="277">
        <f t="shared" si="26"/>
        <v>0</v>
      </c>
      <c r="L77" s="277">
        <f t="shared" si="26"/>
        <v>0</v>
      </c>
      <c r="M77" s="277">
        <f t="shared" si="26"/>
        <v>0</v>
      </c>
      <c r="N77" s="277">
        <f t="shared" si="26"/>
        <v>0</v>
      </c>
      <c r="O77" s="277">
        <f t="shared" si="26"/>
        <v>0</v>
      </c>
      <c r="P77" s="277">
        <f t="shared" si="26"/>
        <v>0</v>
      </c>
      <c r="Q77" s="277">
        <f t="shared" si="26"/>
        <v>0</v>
      </c>
      <c r="R77" s="277">
        <f t="shared" si="26"/>
        <v>0</v>
      </c>
      <c r="S77" s="277">
        <f t="shared" si="26"/>
        <v>0</v>
      </c>
      <c r="T77" s="277">
        <f t="shared" si="26"/>
        <v>0</v>
      </c>
      <c r="U77" s="277">
        <f t="shared" si="26"/>
        <v>0</v>
      </c>
      <c r="V77" s="277">
        <f t="shared" si="26"/>
        <v>0</v>
      </c>
      <c r="W77" s="277">
        <f t="shared" si="26"/>
        <v>0</v>
      </c>
      <c r="X77" s="277">
        <f t="shared" si="26"/>
        <v>0</v>
      </c>
      <c r="Y77" s="277">
        <f t="shared" si="26"/>
        <v>0</v>
      </c>
      <c r="Z77" s="277">
        <f t="shared" si="26"/>
        <v>0</v>
      </c>
      <c r="AA77" s="277">
        <f t="shared" si="26"/>
        <v>0</v>
      </c>
      <c r="AB77" s="277">
        <f t="shared" si="26"/>
        <v>0</v>
      </c>
      <c r="AC77" s="277">
        <f t="shared" si="26"/>
        <v>0</v>
      </c>
      <c r="AD77" s="277">
        <f t="shared" si="26"/>
        <v>0</v>
      </c>
      <c r="AE77" s="277">
        <f t="shared" si="26"/>
        <v>0</v>
      </c>
      <c r="AF77" s="277">
        <f t="shared" si="26"/>
        <v>0</v>
      </c>
      <c r="AG77" s="277">
        <f t="shared" si="26"/>
        <v>0</v>
      </c>
      <c r="AH77" s="277">
        <f t="shared" si="26"/>
        <v>0</v>
      </c>
      <c r="AI77" s="277">
        <f t="shared" si="26"/>
        <v>0</v>
      </c>
      <c r="AJ77" s="277">
        <f t="shared" si="26"/>
        <v>0</v>
      </c>
      <c r="AK77" s="277">
        <f t="shared" si="26"/>
        <v>0</v>
      </c>
      <c r="AL77" s="277">
        <f t="shared" si="26"/>
        <v>0</v>
      </c>
      <c r="AM77" s="277">
        <f t="shared" si="26"/>
        <v>0</v>
      </c>
      <c r="AN77" s="277">
        <f t="shared" si="26"/>
        <v>0</v>
      </c>
      <c r="AO77" s="277">
        <f t="shared" si="26"/>
        <v>0</v>
      </c>
      <c r="AP77" s="277">
        <f>AP69</f>
        <v>0</v>
      </c>
    </row>
    <row r="78" spans="1:45" x14ac:dyDescent="0.2">
      <c r="A78" s="231" t="s">
        <v>304</v>
      </c>
      <c r="B78" s="277">
        <f>IF(SUM($B$71:B71)+SUM($A$78:A78)&gt;0,0,SUM($B$71:B71)-SUM($A$78:A78))</f>
        <v>-303106.98200000002</v>
      </c>
      <c r="C78" s="277">
        <f>IF(SUM($B$71:C71)+SUM($A$78:B78)&gt;0,0,SUM($B$71:C71)-SUM($A$78:B78))</f>
        <v>-87320.193523035268</v>
      </c>
      <c r="D78" s="277">
        <f>IF(SUM($B$71:D71)+SUM($A$78:C78)&gt;0,0,SUM($B$71:D71)-SUM($A$78:C78))</f>
        <v>-196486.57302762376</v>
      </c>
      <c r="E78" s="277">
        <f>IF(SUM($B$71:E71)+SUM($A$78:D78)&gt;0,0,SUM($B$71:E71)-SUM($A$78:D78))</f>
        <v>-317968.98177923495</v>
      </c>
      <c r="F78" s="277">
        <f>IF(SUM($B$71:F71)+SUM($A$78:E78)&gt;0,0,SUM($B$71:F71)-SUM($A$78:E78))</f>
        <v>-331746.67828251491</v>
      </c>
      <c r="G78" s="277">
        <f>IF(SUM($B$71:G71)+SUM($A$78:F78)&gt;0,0,SUM($B$71:G71)-SUM($A$78:F78))</f>
        <v>-346103.03803893249</v>
      </c>
      <c r="H78" s="277">
        <f>IF(SUM($B$71:H71)+SUM($A$78:G78)&gt;0,0,SUM($B$71:H71)-SUM($A$78:G78))</f>
        <v>-361062.36490511964</v>
      </c>
      <c r="I78" s="277">
        <f>IF(SUM($B$71:I71)+SUM($A$78:H78)&gt;0,0,SUM($B$71:I71)-SUM($A$78:H78))</f>
        <v>-376649.98349968647</v>
      </c>
      <c r="J78" s="277">
        <f>IF(SUM($B$71:J71)+SUM($A$78:I78)&gt;0,0,SUM($B$71:J71)-SUM($A$78:I78))</f>
        <v>-392892.28207522538</v>
      </c>
      <c r="K78" s="277">
        <f>IF(SUM($B$71:K71)+SUM($A$78:J78)&gt;0,0,SUM($B$71:K71)-SUM($A$78:J78))</f>
        <v>-409816.75719093718</v>
      </c>
      <c r="L78" s="277">
        <f>IF(SUM($B$71:L71)+SUM($A$78:K78)&gt;0,0,SUM($B$71:L71)-SUM($A$78:K78))</f>
        <v>-427452.06026150845</v>
      </c>
      <c r="M78" s="277">
        <f>IF(SUM($B$71:M71)+SUM($A$78:L78)&gt;0,0,SUM($B$71:M71)-SUM($A$78:L78))</f>
        <v>-445828.04606104363</v>
      </c>
      <c r="N78" s="277">
        <f>IF(SUM($B$71:N71)+SUM($A$78:M78)&gt;0,0,SUM($B$71:N71)-SUM($A$78:M78))</f>
        <v>-464975.82326415926</v>
      </c>
      <c r="O78" s="277">
        <f>IF(SUM($B$71:O71)+SUM($A$78:N78)&gt;0,0,SUM($B$71:O71)-SUM($A$78:N78))</f>
        <v>-484927.80710980669</v>
      </c>
      <c r="P78" s="277">
        <f>IF(SUM($B$71:P71)+SUM($A$78:O78)&gt;0,0,SUM($B$71:P71)-SUM($A$78:O78))</f>
        <v>-505717.77427696995</v>
      </c>
      <c r="Q78" s="277">
        <f>IF(SUM($B$71:Q71)+SUM($A$78:P78)&gt;0,0,SUM($B$71:Q71)-SUM($A$78:P78))</f>
        <v>-527380.92006515525</v>
      </c>
      <c r="R78" s="277">
        <f>IF(SUM($B$71:R71)+SUM($A$78:Q78)&gt;0,0,SUM($B$71:R71)-SUM($A$78:Q78))</f>
        <v>-549953.91797644366</v>
      </c>
      <c r="S78" s="277">
        <f>IF(SUM($B$71:S71)+SUM($A$78:R78)&gt;0,0,SUM($B$71:S71)-SUM($A$78:R78))</f>
        <v>-573474.98180000577</v>
      </c>
      <c r="T78" s="277">
        <f>IF(SUM($B$71:T71)+SUM($A$78:S78)&gt;0,0,SUM($B$71:T71)-SUM($A$78:S78))</f>
        <v>-597983.93030415848</v>
      </c>
      <c r="U78" s="277">
        <f>IF(SUM($B$71:U71)+SUM($A$78:T78)&gt;0,0,SUM($B$71:U71)-SUM($A$78:T78))</f>
        <v>-623522.25464548543</v>
      </c>
      <c r="V78" s="277">
        <f>IF(SUM($B$71:V71)+SUM($A$78:U78)&gt;0,0,SUM($B$71:V71)-SUM($A$78:U78))</f>
        <v>-650133.18860914744</v>
      </c>
      <c r="W78" s="277">
        <f>IF(SUM($B$71:W71)+SUM($A$78:V78)&gt;0,0,SUM($B$71:W71)-SUM($A$78:V78))</f>
        <v>-677861.78179928474</v>
      </c>
      <c r="X78" s="277">
        <f>IF(SUM($B$71:X71)+SUM($A$78:W78)&gt;0,0,SUM($B$71:X71)-SUM($A$78:W78))</f>
        <v>-706754.97590340674</v>
      </c>
      <c r="Y78" s="277">
        <f>IF(SUM($B$71:Y71)+SUM($A$78:X78)&gt;0,0,SUM($B$71:Y71)-SUM($A$78:X78))</f>
        <v>-736861.68415990099</v>
      </c>
      <c r="Z78" s="277">
        <f>IF(SUM($B$71:Z71)+SUM($A$78:Y78)&gt;0,0,SUM($B$71:Z71)-SUM($A$78:Y78))</f>
        <v>-768232.87416316941</v>
      </c>
      <c r="AA78" s="277">
        <f>IF(SUM($B$71:AA71)+SUM($A$78:Z78)&gt;0,0,SUM($B$71:AA71)-SUM($A$78:Z78))</f>
        <v>-800921.65414657444</v>
      </c>
      <c r="AB78" s="277">
        <f>IF(SUM($B$71:AB71)+SUM($A$78:AA78)&gt;0,0,SUM($B$71:AB71)-SUM($A$78:AA78))</f>
        <v>-834983.36288928241</v>
      </c>
      <c r="AC78" s="277">
        <f>IF(SUM($B$71:AC71)+SUM($A$78:AB78)&gt;0,0,SUM($B$71:AC71)-SUM($A$78:AB78))</f>
        <v>-870475.66339918412</v>
      </c>
      <c r="AD78" s="277">
        <f>IF(SUM($B$71:AD71)+SUM($A$78:AC78)&gt;0,0,SUM($B$71:AD71)-SUM($A$78:AC78))</f>
        <v>-907458.64053050242</v>
      </c>
      <c r="AE78" s="277">
        <f>IF(SUM($B$71:AE71)+SUM($A$78:AD78)&gt;0,0,SUM($B$71:AE71)-SUM($A$78:AD78))</f>
        <v>-945994.90270133503</v>
      </c>
      <c r="AF78" s="277">
        <f>IF(SUM($B$71:AF71)+SUM($A$78:AE78)&gt;0,0,SUM($B$71:AF71)-SUM($A$78:AE78))</f>
        <v>-986149.68788334168</v>
      </c>
      <c r="AG78" s="277">
        <f>IF(SUM($B$71:AG71)+SUM($A$78:AF78)&gt;0,0,SUM($B$71:AG71)-SUM($A$78:AF78))</f>
        <v>-1027990.9740429968</v>
      </c>
      <c r="AH78" s="277">
        <f>IF(SUM($B$71:AH71)+SUM($A$78:AG78)&gt;0,0,SUM($B$71:AH71)-SUM($A$78:AG78))</f>
        <v>-1071589.5942213535</v>
      </c>
      <c r="AI78" s="277">
        <f>IF(SUM($B$71:AI71)+SUM($A$78:AH78)&gt;0,0,SUM($B$71:AI71)-SUM($A$78:AH78))</f>
        <v>-1117019.3564472012</v>
      </c>
      <c r="AJ78" s="277">
        <f>IF(SUM($B$71:AJ71)+SUM($A$78:AI78)&gt;0,0,SUM($B$71:AJ71)-SUM($A$78:AI78))</f>
        <v>-1164357.1686865352</v>
      </c>
      <c r="AK78" s="277">
        <f>IF(SUM($B$71:AK71)+SUM($A$78:AJ78)&gt;0,0,SUM($B$71:AK71)-SUM($A$78:AJ78))</f>
        <v>-1213683.1690399237</v>
      </c>
      <c r="AL78" s="277">
        <f>IF(SUM($B$71:AL71)+SUM($A$78:AK78)&gt;0,0,SUM($B$71:AL71)-SUM($A$78:AK78))</f>
        <v>-1265080.8614081517</v>
      </c>
      <c r="AM78" s="277">
        <f>IF(SUM($B$71:AM71)+SUM($A$78:AL78)&gt;0,0,SUM($B$71:AM71)-SUM($A$78:AL78))</f>
        <v>-1318637.2568558455</v>
      </c>
      <c r="AN78" s="277">
        <f>IF(SUM($B$71:AN71)+SUM($A$78:AM78)&gt;0,0,SUM($B$71:AN71)-SUM($A$78:AM78))</f>
        <v>-1374443.0209123455</v>
      </c>
      <c r="AO78" s="277">
        <f>IF(SUM($B$71:AO71)+SUM($A$78:AN78)&gt;0,0,SUM($B$71:AO71)-SUM($A$78:AN78))</f>
        <v>-1432592.6270592138</v>
      </c>
      <c r="AP78" s="277">
        <f>IF(SUM($B$71:AP71)+SUM($A$78:AO78)&gt;0,0,SUM($B$71:AP71)-SUM($A$78:AO78))</f>
        <v>-1493184.5166642554</v>
      </c>
    </row>
    <row r="79" spans="1:45" x14ac:dyDescent="0.2">
      <c r="A79" s="231" t="s">
        <v>303</v>
      </c>
      <c r="B79" s="277">
        <f>IF(((SUM($B$59:B59)+SUM($B$61:B64))+SUM($B$81:B81))&lt;0,((SUM($B$59:B59)+SUM($B$61:B64))+SUM($B$81:B81))*0.18-SUM($A$79:A79),IF(SUM(A$79:$B79)&lt;0,0-SUM(A$79:$B79),0))</f>
        <v>-9.0000000083819021E-3</v>
      </c>
      <c r="C79" s="277">
        <f>IF(((SUM($B$59:C59)+SUM($B$61:C64))+SUM($B$81:C81))&lt;0,((SUM($B$59:C59)+SUM($B$61:C64))+SUM($B$81:C81))*0.18-SUM($A$79:B79),IF(SUM($B$79:B79)&lt;0,0-SUM($B$79:B79),0))</f>
        <v>9.0000000083819021E-3</v>
      </c>
      <c r="D79" s="277">
        <f>IF(((SUM($B$59:D59)+SUM($B$61:D64))+SUM($B$81:D81))&lt;0,((SUM($B$59:D59)+SUM($B$61:D64))+SUM($B$81:D81))*0.18-SUM($A$79:C79),IF(SUM($B$79:C79)&lt;0,0-SUM($B$79:C79),0))</f>
        <v>0</v>
      </c>
      <c r="E79" s="277">
        <f>IF(((SUM($B$59:E59)+SUM($B$61:E64))+SUM($B$81:E81))&lt;0,((SUM($B$59:E59)+SUM($B$61:E64))+SUM($B$81:E81))*0.18-SUM($A$79:D79),IF(SUM($B$79:D79)&lt;0,0-SUM($B$79:D79),0))</f>
        <v>0</v>
      </c>
      <c r="F79" s="277">
        <f>IF(((SUM($B$59:F59)+SUM($B$61:F64))+SUM($B$81:F81))&lt;0,((SUM($B$59:F59)+SUM($B$61:F64))+SUM($B$81:F81))*0.18-SUM($A$79:E79),IF(SUM($B$79:E79)&lt;0,0-SUM($B$79:E79),0))</f>
        <v>0</v>
      </c>
      <c r="G79" s="277">
        <f>IF(((SUM($B$59:G59)+SUM($B$61:G64))+SUM($B$81:G81))&lt;0,((SUM($B$59:G59)+SUM($B$61:G64))+SUM($B$81:G81))*0.18-SUM($A$79:F79),IF(SUM($B$79:F79)&lt;0,0-SUM($B$79:F79),0))</f>
        <v>0</v>
      </c>
      <c r="H79" s="277">
        <f>IF(((SUM($B$59:H59)+SUM($B$61:H64))+SUM($B$81:H81))&lt;0,((SUM($B$59:H59)+SUM($B$61:H64))+SUM($B$81:H81))*0.18-SUM($A$79:G79),IF(SUM($B$79:G79)&lt;0,0-SUM($B$79:G79),0))</f>
        <v>0</v>
      </c>
      <c r="I79" s="277">
        <f>IF(((SUM($B$59:I59)+SUM($B$61:I64))+SUM($B$81:I81))&lt;0,((SUM($B$59:I59)+SUM($B$61:I64))+SUM($B$81:I81))*0.18-SUM($A$79:H79),IF(SUM($B$79:H79)&lt;0,0-SUM($B$79:H79),0))</f>
        <v>0</v>
      </c>
      <c r="J79" s="277">
        <f>IF(((SUM($B$59:J59)+SUM($B$61:J64))+SUM($B$81:J81))&lt;0,((SUM($B$59:J59)+SUM($B$61:J64))+SUM($B$81:J81))*0.18-SUM($A$79:I79),IF(SUM($B$79:I79)&lt;0,0-SUM($B$79:I79),0))</f>
        <v>0</v>
      </c>
      <c r="K79" s="277">
        <f>IF(((SUM($B$59:K59)+SUM($B$61:K64))+SUM($B$81:K81))&lt;0,((SUM($B$59:K59)+SUM($B$61:K64))+SUM($B$81:K81))*0.18-SUM($A$79:J79),IF(SUM($B$79:J79)&lt;0,0-SUM($B$79:J79),0))</f>
        <v>0</v>
      </c>
      <c r="L79" s="277">
        <f>IF(((SUM($B$59:L59)+SUM($B$61:L64))+SUM($B$81:L81))&lt;0,((SUM($B$59:L59)+SUM($B$61:L64))+SUM($B$81:L81))*0.18-SUM($A$79:K79),IF(SUM($B$79:K79)&lt;0,0-SUM($B$79:K79),0))</f>
        <v>0</v>
      </c>
      <c r="M79" s="277">
        <f>IF(((SUM($B$59:M59)+SUM($B$61:M64))+SUM($B$81:M81))&lt;0,((SUM($B$59:M59)+SUM($B$61:M64))+SUM($B$81:M81))*0.18-SUM($A$79:L79),IF(SUM($B$79:L79)&lt;0,0-SUM($B$79:L79),0))</f>
        <v>0</v>
      </c>
      <c r="N79" s="277">
        <f>IF(((SUM($B$59:N59)+SUM($B$61:N64))+SUM($B$81:N81))&lt;0,((SUM($B$59:N59)+SUM($B$61:N64))+SUM($B$81:N81))*0.18-SUM($A$79:M79),IF(SUM($B$79:M79)&lt;0,0-SUM($B$79:M79),0))</f>
        <v>0</v>
      </c>
      <c r="O79" s="277">
        <f>IF(((SUM($B$59:O59)+SUM($B$61:O64))+SUM($B$81:O81))&lt;0,((SUM($B$59:O59)+SUM($B$61:O64))+SUM($B$81:O81))*0.18-SUM($A$79:N79),IF(SUM($B$79:N79)&lt;0,0-SUM($B$79:N79),0))</f>
        <v>0</v>
      </c>
      <c r="P79" s="277">
        <f>IF(((SUM($B$59:P59)+SUM($B$61:P64))+SUM($B$81:P81))&lt;0,((SUM($B$59:P59)+SUM($B$61:P64))+SUM($B$81:P81))*0.18-SUM($A$79:O79),IF(SUM($B$79:O79)&lt;0,0-SUM($B$79:O79),0))</f>
        <v>0</v>
      </c>
      <c r="Q79" s="277">
        <f>IF(((SUM($B$59:Q59)+SUM($B$61:Q64))+SUM($B$81:Q81))&lt;0,((SUM($B$59:Q59)+SUM($B$61:Q64))+SUM($B$81:Q81))*0.18-SUM($A$79:P79),IF(SUM($B$79:P79)&lt;0,0-SUM($B$79:P79),0))</f>
        <v>0</v>
      </c>
      <c r="R79" s="277">
        <f>IF(((SUM($B$59:R59)+SUM($B$61:R64))+SUM($B$81:R81))&lt;0,((SUM($B$59:R59)+SUM($B$61:R64))+SUM($B$81:R81))*0.18-SUM($A$79:Q79),IF(SUM($B$79:Q79)&lt;0,0-SUM($B$79:Q79),0))</f>
        <v>0</v>
      </c>
      <c r="S79" s="277">
        <f>IF(((SUM($B$59:S59)+SUM($B$61:S64))+SUM($B$81:S81))&lt;0,((SUM($B$59:S59)+SUM($B$61:S64))+SUM($B$81:S81))*0.18-SUM($A$79:R79),IF(SUM($B$79:R79)&lt;0,0-SUM($B$79:R79),0))</f>
        <v>0</v>
      </c>
      <c r="T79" s="277">
        <f>IF(((SUM($B$59:T59)+SUM($B$61:T64))+SUM($B$81:T81))&lt;0,((SUM($B$59:T59)+SUM($B$61:T64))+SUM($B$81:T81))*0.18-SUM($A$79:S79),IF(SUM($B$79:S79)&lt;0,0-SUM($B$79:S79),0))</f>
        <v>0</v>
      </c>
      <c r="U79" s="277">
        <f>IF(((SUM($B$59:U59)+SUM($B$61:U64))+SUM($B$81:U81))&lt;0,((SUM($B$59:U59)+SUM($B$61:U64))+SUM($B$81:U81))*0.18-SUM($A$79:T79),IF(SUM($B$79:T79)&lt;0,0-SUM($B$79:T79),0))</f>
        <v>0</v>
      </c>
      <c r="V79" s="277">
        <f>IF(((SUM($B$59:V59)+SUM($B$61:V64))+SUM($B$81:V81))&lt;0,((SUM($B$59:V59)+SUM($B$61:V64))+SUM($B$81:V81))*0.18-SUM($A$79:U79),IF(SUM($B$79:U79)&lt;0,0-SUM($B$79:U79),0))</f>
        <v>0</v>
      </c>
      <c r="W79" s="277">
        <f>IF(((SUM($B$59:W59)+SUM($B$61:W64))+SUM($B$81:W81))&lt;0,((SUM($B$59:W59)+SUM($B$61:W64))+SUM($B$81:W81))*0.18-SUM($A$79:V79),IF(SUM($B$79:V79)&lt;0,0-SUM($B$79:V79),0))</f>
        <v>0</v>
      </c>
      <c r="X79" s="277">
        <f>IF(((SUM($B$59:X59)+SUM($B$61:X64))+SUM($B$81:X81))&lt;0,((SUM($B$59:X59)+SUM($B$61:X64))+SUM($B$81:X81))*0.18-SUM($A$79:W79),IF(SUM($B$79:W79)&lt;0,0-SUM($B$79:W79),0))</f>
        <v>0</v>
      </c>
      <c r="Y79" s="277">
        <f>IF(((SUM($B$59:Y59)+SUM($B$61:Y64))+SUM($B$81:Y81))&lt;0,((SUM($B$59:Y59)+SUM($B$61:Y64))+SUM($B$81:Y81))*0.18-SUM($A$79:X79),IF(SUM($B$79:X79)&lt;0,0-SUM($B$79:X79),0))</f>
        <v>0</v>
      </c>
      <c r="Z79" s="277">
        <f>IF(((SUM($B$59:Z59)+SUM($B$61:Z64))+SUM($B$81:Z81))&lt;0,((SUM($B$59:Z59)+SUM($B$61:Z64))+SUM($B$81:Z81))*0.18-SUM($A$79:Y79),IF(SUM($B$79:Y79)&lt;0,0-SUM($B$79:Y79),0))</f>
        <v>0</v>
      </c>
      <c r="AA79" s="277">
        <f>IF(((SUM($B$59:AA59)+SUM($B$61:AA64))+SUM($B$81:AA81))&lt;0,((SUM($B$59:AA59)+SUM($B$61:AA64))+SUM($B$81:AA81))*0.18-SUM($A$79:Z79),IF(SUM($B$79:Z79)&lt;0,0-SUM($B$79:Z79),0))</f>
        <v>0</v>
      </c>
      <c r="AB79" s="277">
        <f>IF(((SUM($B$59:AB59)+SUM($B$61:AB64))+SUM($B$81:AB81))&lt;0,((SUM($B$59:AB59)+SUM($B$61:AB64))+SUM($B$81:AB81))*0.18-SUM($A$79:AA79),IF(SUM($B$79:AA79)&lt;0,0-SUM($B$79:AA79),0))</f>
        <v>0</v>
      </c>
      <c r="AC79" s="277">
        <f>IF(((SUM($B$59:AC59)+SUM($B$61:AC64))+SUM($B$81:AC81))&lt;0,((SUM($B$59:AC59)+SUM($B$61:AC64))+SUM($B$81:AC81))*0.18-SUM($A$79:AB79),IF(SUM($B$79:AB79)&lt;0,0-SUM($B$79:AB79),0))</f>
        <v>0</v>
      </c>
      <c r="AD79" s="277">
        <f>IF(((SUM($B$59:AD59)+SUM($B$61:AD64))+SUM($B$81:AD81))&lt;0,((SUM($B$59:AD59)+SUM($B$61:AD64))+SUM($B$81:AD81))*0.18-SUM($A$79:AC79),IF(SUM($B$79:AC79)&lt;0,0-SUM($B$79:AC79),0))</f>
        <v>0</v>
      </c>
      <c r="AE79" s="277">
        <f>IF(((SUM($B$59:AE59)+SUM($B$61:AE64))+SUM($B$81:AE81))&lt;0,((SUM($B$59:AE59)+SUM($B$61:AE64))+SUM($B$81:AE81))*0.18-SUM($A$79:AD79),IF(SUM($B$79:AD79)&lt;0,0-SUM($B$79:AD79),0))</f>
        <v>0</v>
      </c>
      <c r="AF79" s="277">
        <f>IF(((SUM($B$59:AF59)+SUM($B$61:AF64))+SUM($B$81:AF81))&lt;0,((SUM($B$59:AF59)+SUM($B$61:AF64))+SUM($B$81:AF81))*0.18-SUM($A$79:AE79),IF(SUM($B$79:AE79)&lt;0,0-SUM($B$79:AE79),0))</f>
        <v>0</v>
      </c>
      <c r="AG79" s="277">
        <f>IF(((SUM($B$59:AG59)+SUM($B$61:AG64))+SUM($B$81:AG81))&lt;0,((SUM($B$59:AG59)+SUM($B$61:AG64))+SUM($B$81:AG81))*0.18-SUM($A$79:AF79),IF(SUM($B$79:AF79)&lt;0,0-SUM($B$79:AF79),0))</f>
        <v>0</v>
      </c>
      <c r="AH79" s="277">
        <f>IF(((SUM($B$59:AH59)+SUM($B$61:AH64))+SUM($B$81:AH81))&lt;0,((SUM($B$59:AH59)+SUM($B$61:AH64))+SUM($B$81:AH81))*0.18-SUM($A$79:AG79),IF(SUM($B$79:AG79)&lt;0,0-SUM($B$79:AG79),0))</f>
        <v>0</v>
      </c>
      <c r="AI79" s="277">
        <f>IF(((SUM($B$59:AI59)+SUM($B$61:AI64))+SUM($B$81:AI81))&lt;0,((SUM($B$59:AI59)+SUM($B$61:AI64))+SUM($B$81:AI81))*0.18-SUM($A$79:AH79),IF(SUM($B$79:AH79)&lt;0,0-SUM($B$79:AH79),0))</f>
        <v>0</v>
      </c>
      <c r="AJ79" s="277">
        <f>IF(((SUM($B$59:AJ59)+SUM($B$61:AJ64))+SUM($B$81:AJ81))&lt;0,((SUM($B$59:AJ59)+SUM($B$61:AJ64))+SUM($B$81:AJ81))*0.18-SUM($A$79:AI79),IF(SUM($B$79:AI79)&lt;0,0-SUM($B$79:AI79),0))</f>
        <v>0</v>
      </c>
      <c r="AK79" s="277">
        <f>IF(((SUM($B$59:AK59)+SUM($B$61:AK64))+SUM($B$81:AK81))&lt;0,((SUM($B$59:AK59)+SUM($B$61:AK64))+SUM($B$81:AK81))*0.18-SUM($A$79:AJ79),IF(SUM($B$79:AJ79)&lt;0,0-SUM($B$79:AJ79),0))</f>
        <v>0</v>
      </c>
      <c r="AL79" s="277">
        <f>IF(((SUM($B$59:AL59)+SUM($B$61:AL64))+SUM($B$81:AL81))&lt;0,((SUM($B$59:AL59)+SUM($B$61:AL64))+SUM($B$81:AL81))*0.18-SUM($A$79:AK79),IF(SUM($B$79:AK79)&lt;0,0-SUM($B$79:AK79),0))</f>
        <v>0</v>
      </c>
      <c r="AM79" s="277">
        <f>IF(((SUM($B$59:AM59)+SUM($B$61:AM64))+SUM($B$81:AM81))&lt;0,((SUM($B$59:AM59)+SUM($B$61:AM64))+SUM($B$81:AM81))*0.18-SUM($A$79:AL79),IF(SUM($B$79:AL79)&lt;0,0-SUM($B$79:AL79),0))</f>
        <v>0</v>
      </c>
      <c r="AN79" s="277">
        <f>IF(((SUM($B$59:AN59)+SUM($B$61:AN64))+SUM($B$81:AN81))&lt;0,((SUM($B$59:AN59)+SUM($B$61:AN64))+SUM($B$81:AN81))*0.18-SUM($A$79:AM79),IF(SUM($B$79:AM79)&lt;0,0-SUM($B$79:AM79),0))</f>
        <v>0</v>
      </c>
      <c r="AO79" s="277">
        <f>IF(((SUM($B$59:AO59)+SUM($B$61:AO64))+SUM($B$81:AO81))&lt;0,((SUM($B$59:AO59)+SUM($B$61:AO64))+SUM($B$81:AO81))*0.18-SUM($A$79:AN79),IF(SUM($B$79:AN79)&lt;0,0-SUM($B$79:AN79),0))</f>
        <v>0</v>
      </c>
      <c r="AP79" s="277">
        <f>IF(((SUM($B$59:AP59)+SUM($B$61:AP64))+SUM($B$81:AP81))&lt;0,((SUM($B$59:AP59)+SUM($B$61:AP64))+SUM($B$81:AP81))*0.18-SUM($A$79:AO79),IF(SUM($B$79:AO79)&lt;0,0-SUM($B$79:AO79),0))</f>
        <v>0</v>
      </c>
    </row>
    <row r="80" spans="1:45" x14ac:dyDescent="0.2">
      <c r="A80" s="231" t="s">
        <v>302</v>
      </c>
      <c r="B80" s="277">
        <f>-B59*(B39)</f>
        <v>0</v>
      </c>
      <c r="C80" s="277">
        <f t="shared" ref="C80:AP80" si="27">-(C59-B59)*$B$39</f>
        <v>0</v>
      </c>
      <c r="D80" s="277">
        <f t="shared" si="27"/>
        <v>0</v>
      </c>
      <c r="E80" s="277">
        <f t="shared" si="27"/>
        <v>0</v>
      </c>
      <c r="F80" s="277">
        <f t="shared" si="27"/>
        <v>0</v>
      </c>
      <c r="G80" s="277">
        <f t="shared" si="27"/>
        <v>0</v>
      </c>
      <c r="H80" s="277">
        <f t="shared" si="27"/>
        <v>0</v>
      </c>
      <c r="I80" s="277">
        <f t="shared" si="27"/>
        <v>0</v>
      </c>
      <c r="J80" s="277">
        <f t="shared" si="27"/>
        <v>0</v>
      </c>
      <c r="K80" s="277">
        <f t="shared" si="27"/>
        <v>0</v>
      </c>
      <c r="L80" s="277">
        <f t="shared" si="27"/>
        <v>0</v>
      </c>
      <c r="M80" s="277">
        <f t="shared" si="27"/>
        <v>0</v>
      </c>
      <c r="N80" s="277">
        <f t="shared" si="27"/>
        <v>0</v>
      </c>
      <c r="O80" s="277">
        <f t="shared" si="27"/>
        <v>0</v>
      </c>
      <c r="P80" s="277">
        <f t="shared" si="27"/>
        <v>0</v>
      </c>
      <c r="Q80" s="277">
        <f t="shared" si="27"/>
        <v>0</v>
      </c>
      <c r="R80" s="277">
        <f t="shared" si="27"/>
        <v>0</v>
      </c>
      <c r="S80" s="277">
        <f t="shared" si="27"/>
        <v>0</v>
      </c>
      <c r="T80" s="277">
        <f t="shared" si="27"/>
        <v>0</v>
      </c>
      <c r="U80" s="277">
        <f t="shared" si="27"/>
        <v>0</v>
      </c>
      <c r="V80" s="277">
        <f t="shared" si="27"/>
        <v>0</v>
      </c>
      <c r="W80" s="277">
        <f t="shared" si="27"/>
        <v>0</v>
      </c>
      <c r="X80" s="277">
        <f t="shared" si="27"/>
        <v>0</v>
      </c>
      <c r="Y80" s="277">
        <f t="shared" si="27"/>
        <v>0</v>
      </c>
      <c r="Z80" s="277">
        <f t="shared" si="27"/>
        <v>0</v>
      </c>
      <c r="AA80" s="277">
        <f t="shared" si="27"/>
        <v>0</v>
      </c>
      <c r="AB80" s="277">
        <f t="shared" si="27"/>
        <v>0</v>
      </c>
      <c r="AC80" s="277">
        <f t="shared" si="27"/>
        <v>0</v>
      </c>
      <c r="AD80" s="277">
        <f t="shared" si="27"/>
        <v>0</v>
      </c>
      <c r="AE80" s="277">
        <f t="shared" si="27"/>
        <v>0</v>
      </c>
      <c r="AF80" s="277">
        <f t="shared" si="27"/>
        <v>0</v>
      </c>
      <c r="AG80" s="277">
        <f t="shared" si="27"/>
        <v>0</v>
      </c>
      <c r="AH80" s="277">
        <f t="shared" si="27"/>
        <v>0</v>
      </c>
      <c r="AI80" s="277">
        <f t="shared" si="27"/>
        <v>0</v>
      </c>
      <c r="AJ80" s="277">
        <f t="shared" si="27"/>
        <v>0</v>
      </c>
      <c r="AK80" s="277">
        <f t="shared" si="27"/>
        <v>0</v>
      </c>
      <c r="AL80" s="277">
        <f t="shared" si="27"/>
        <v>0</v>
      </c>
      <c r="AM80" s="277">
        <f t="shared" si="27"/>
        <v>0</v>
      </c>
      <c r="AN80" s="277">
        <f t="shared" si="27"/>
        <v>0</v>
      </c>
      <c r="AO80" s="277">
        <f t="shared" si="27"/>
        <v>0</v>
      </c>
      <c r="AP80" s="277">
        <f t="shared" si="27"/>
        <v>0</v>
      </c>
    </row>
    <row r="81" spans="1:45" x14ac:dyDescent="0.2">
      <c r="A81" s="231" t="s">
        <v>539</v>
      </c>
      <c r="B81" s="277">
        <f>-$B$126</f>
        <v>-1515534.96</v>
      </c>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77"/>
      <c r="AL81" s="277"/>
      <c r="AM81" s="277"/>
      <c r="AN81" s="277"/>
      <c r="AO81" s="277"/>
      <c r="AP81" s="277"/>
      <c r="AQ81" s="234">
        <f>SUM(B81:AP81)</f>
        <v>-1515534.96</v>
      </c>
      <c r="AR81" s="235"/>
    </row>
    <row r="82" spans="1:45" x14ac:dyDescent="0.2">
      <c r="A82" s="231" t="s">
        <v>301</v>
      </c>
      <c r="B82" s="277">
        <f t="shared" ref="B82:AO82" si="28">B54-B55</f>
        <v>0</v>
      </c>
      <c r="C82" s="277">
        <f t="shared" si="28"/>
        <v>0</v>
      </c>
      <c r="D82" s="277">
        <f t="shared" si="28"/>
        <v>0</v>
      </c>
      <c r="E82" s="277">
        <f t="shared" si="28"/>
        <v>0</v>
      </c>
      <c r="F82" s="277">
        <f t="shared" si="28"/>
        <v>0</v>
      </c>
      <c r="G82" s="277">
        <f t="shared" si="28"/>
        <v>0</v>
      </c>
      <c r="H82" s="277">
        <f t="shared" si="28"/>
        <v>0</v>
      </c>
      <c r="I82" s="277">
        <f t="shared" si="28"/>
        <v>0</v>
      </c>
      <c r="J82" s="277">
        <f t="shared" si="28"/>
        <v>0</v>
      </c>
      <c r="K82" s="277">
        <f t="shared" si="28"/>
        <v>0</v>
      </c>
      <c r="L82" s="277">
        <f t="shared" si="28"/>
        <v>0</v>
      </c>
      <c r="M82" s="277">
        <f t="shared" si="28"/>
        <v>0</v>
      </c>
      <c r="N82" s="277">
        <f t="shared" si="28"/>
        <v>0</v>
      </c>
      <c r="O82" s="277">
        <f t="shared" si="28"/>
        <v>0</v>
      </c>
      <c r="P82" s="277">
        <f t="shared" si="28"/>
        <v>0</v>
      </c>
      <c r="Q82" s="277">
        <f t="shared" si="28"/>
        <v>0</v>
      </c>
      <c r="R82" s="277">
        <f t="shared" si="28"/>
        <v>0</v>
      </c>
      <c r="S82" s="277">
        <f t="shared" si="28"/>
        <v>0</v>
      </c>
      <c r="T82" s="277">
        <f t="shared" si="28"/>
        <v>0</v>
      </c>
      <c r="U82" s="277">
        <f t="shared" si="28"/>
        <v>0</v>
      </c>
      <c r="V82" s="277">
        <f t="shared" si="28"/>
        <v>0</v>
      </c>
      <c r="W82" s="277">
        <f t="shared" si="28"/>
        <v>0</v>
      </c>
      <c r="X82" s="277">
        <f t="shared" si="28"/>
        <v>0</v>
      </c>
      <c r="Y82" s="277">
        <f t="shared" si="28"/>
        <v>0</v>
      </c>
      <c r="Z82" s="277">
        <f t="shared" si="28"/>
        <v>0</v>
      </c>
      <c r="AA82" s="277">
        <f t="shared" si="28"/>
        <v>0</v>
      </c>
      <c r="AB82" s="277">
        <f t="shared" si="28"/>
        <v>0</v>
      </c>
      <c r="AC82" s="277">
        <f t="shared" si="28"/>
        <v>0</v>
      </c>
      <c r="AD82" s="277">
        <f t="shared" si="28"/>
        <v>0</v>
      </c>
      <c r="AE82" s="277">
        <f t="shared" si="28"/>
        <v>0</v>
      </c>
      <c r="AF82" s="277">
        <f t="shared" si="28"/>
        <v>0</v>
      </c>
      <c r="AG82" s="277">
        <f t="shared" si="28"/>
        <v>0</v>
      </c>
      <c r="AH82" s="277">
        <f t="shared" si="28"/>
        <v>0</v>
      </c>
      <c r="AI82" s="277">
        <f t="shared" si="28"/>
        <v>0</v>
      </c>
      <c r="AJ82" s="277">
        <f t="shared" si="28"/>
        <v>0</v>
      </c>
      <c r="AK82" s="277">
        <f t="shared" si="28"/>
        <v>0</v>
      </c>
      <c r="AL82" s="277">
        <f t="shared" si="28"/>
        <v>0</v>
      </c>
      <c r="AM82" s="277">
        <f t="shared" si="28"/>
        <v>0</v>
      </c>
      <c r="AN82" s="277">
        <f t="shared" si="28"/>
        <v>0</v>
      </c>
      <c r="AO82" s="277">
        <f t="shared" si="28"/>
        <v>0</v>
      </c>
      <c r="AP82" s="277">
        <f>AP54-AP55</f>
        <v>0</v>
      </c>
    </row>
    <row r="83" spans="1:45" ht="14.25" x14ac:dyDescent="0.2">
      <c r="A83" s="232" t="s">
        <v>300</v>
      </c>
      <c r="B83" s="278">
        <f>SUM(B75:B82)</f>
        <v>-303107.0410000002</v>
      </c>
      <c r="C83" s="278">
        <f t="shared" ref="C83:V83" si="29">SUM(C75:C82)</f>
        <v>399637.83887214115</v>
      </c>
      <c r="D83" s="278">
        <f t="shared" si="29"/>
        <v>836303.34789049509</v>
      </c>
      <c r="E83" s="278">
        <f t="shared" si="29"/>
        <v>1322232.9828969401</v>
      </c>
      <c r="F83" s="278">
        <f t="shared" si="29"/>
        <v>1377343.7689100595</v>
      </c>
      <c r="G83" s="278">
        <f t="shared" si="29"/>
        <v>1434769.20793573</v>
      </c>
      <c r="H83" s="278">
        <f t="shared" si="29"/>
        <v>1494606.5154004786</v>
      </c>
      <c r="I83" s="278">
        <f t="shared" si="29"/>
        <v>1556956.9897787471</v>
      </c>
      <c r="J83" s="278">
        <f t="shared" si="29"/>
        <v>1621926.1840809025</v>
      </c>
      <c r="K83" s="278">
        <f t="shared" si="29"/>
        <v>1689624.0845437483</v>
      </c>
      <c r="L83" s="278">
        <f t="shared" si="29"/>
        <v>1760165.2968260339</v>
      </c>
      <c r="M83" s="278">
        <f t="shared" si="29"/>
        <v>1833669.2400241755</v>
      </c>
      <c r="N83" s="278">
        <f t="shared" si="29"/>
        <v>1910260.3488366394</v>
      </c>
      <c r="O83" s="278">
        <f t="shared" si="29"/>
        <v>1990068.2842192259</v>
      </c>
      <c r="P83" s="278">
        <f t="shared" si="29"/>
        <v>2073228.1528878817</v>
      </c>
      <c r="Q83" s="278">
        <f t="shared" si="29"/>
        <v>2159880.7360406201</v>
      </c>
      <c r="R83" s="278">
        <f t="shared" si="29"/>
        <v>2250172.7276857742</v>
      </c>
      <c r="S83" s="278">
        <f t="shared" si="29"/>
        <v>2344256.9829800255</v>
      </c>
      <c r="T83" s="278">
        <f t="shared" si="29"/>
        <v>2442292.7769966344</v>
      </c>
      <c r="U83" s="278">
        <f t="shared" si="29"/>
        <v>2544446.0743619408</v>
      </c>
      <c r="V83" s="278">
        <f t="shared" si="29"/>
        <v>2650889.8102165908</v>
      </c>
      <c r="W83" s="278">
        <f>SUM(W75:W82)</f>
        <v>2761804.1829771344</v>
      </c>
      <c r="X83" s="278">
        <f>SUM(X75:X82)</f>
        <v>2877376.9593936228</v>
      </c>
      <c r="Y83" s="278">
        <f>SUM(Y75:Y82)</f>
        <v>2997803.7924196036</v>
      </c>
      <c r="Z83" s="278">
        <f>SUM(Z75:Z82)</f>
        <v>3123288.5524326744</v>
      </c>
      <c r="AA83" s="278">
        <f t="shared" ref="AA83:AP83" si="30">SUM(AA75:AA82)</f>
        <v>3254043.672366295</v>
      </c>
      <c r="AB83" s="278">
        <f t="shared" si="30"/>
        <v>3390290.5073371278</v>
      </c>
      <c r="AC83" s="278">
        <f t="shared" si="30"/>
        <v>3532259.7093767356</v>
      </c>
      <c r="AD83" s="278">
        <f t="shared" si="30"/>
        <v>3680191.617902007</v>
      </c>
      <c r="AE83" s="278">
        <f t="shared" si="30"/>
        <v>3834336.6665853392</v>
      </c>
      <c r="AF83" s="278">
        <f t="shared" si="30"/>
        <v>3994955.8073133733</v>
      </c>
      <c r="AG83" s="278">
        <f t="shared" si="30"/>
        <v>4162320.9519519815</v>
      </c>
      <c r="AH83" s="278">
        <f t="shared" si="30"/>
        <v>4336715.4326654123</v>
      </c>
      <c r="AI83" s="278">
        <f t="shared" si="30"/>
        <v>4518434.4815688096</v>
      </c>
      <c r="AJ83" s="278">
        <f t="shared" si="30"/>
        <v>4707785.7305261474</v>
      </c>
      <c r="AK83" s="278">
        <f t="shared" si="30"/>
        <v>4905089.7319396911</v>
      </c>
      <c r="AL83" s="278">
        <f t="shared" si="30"/>
        <v>5110680.5014126068</v>
      </c>
      <c r="AM83" s="278">
        <f t="shared" si="30"/>
        <v>5324906.0832033856</v>
      </c>
      <c r="AN83" s="278">
        <f t="shared" si="30"/>
        <v>5548129.1394293746</v>
      </c>
      <c r="AO83" s="278">
        <f t="shared" si="30"/>
        <v>5780727.564016859</v>
      </c>
      <c r="AP83" s="278">
        <f t="shared" si="30"/>
        <v>6023095.1224370142</v>
      </c>
    </row>
    <row r="84" spans="1:45" ht="14.25" x14ac:dyDescent="0.2">
      <c r="A84" s="232" t="s">
        <v>299</v>
      </c>
      <c r="B84" s="278">
        <f>SUM($B$83:B83)</f>
        <v>-303107.0410000002</v>
      </c>
      <c r="C84" s="278">
        <f>SUM($B$83:C83)</f>
        <v>96530.797872140945</v>
      </c>
      <c r="D84" s="278">
        <f>SUM($B$83:D83)</f>
        <v>932834.14576263609</v>
      </c>
      <c r="E84" s="278">
        <f>SUM($B$83:E83)</f>
        <v>2255067.1286595762</v>
      </c>
      <c r="F84" s="278">
        <f>SUM($B$83:F83)</f>
        <v>3632410.8975696359</v>
      </c>
      <c r="G84" s="278">
        <f>SUM($B$83:G83)</f>
        <v>5067180.1055053659</v>
      </c>
      <c r="H84" s="278">
        <f>SUM($B$83:H83)</f>
        <v>6561786.6209058445</v>
      </c>
      <c r="I84" s="278">
        <f>SUM($B$83:I83)</f>
        <v>8118743.6106845913</v>
      </c>
      <c r="J84" s="278">
        <f>SUM($B$83:J83)</f>
        <v>9740669.7947654948</v>
      </c>
      <c r="K84" s="278">
        <f>SUM($B$83:K83)</f>
        <v>11430293.879309243</v>
      </c>
      <c r="L84" s="278">
        <f>SUM($B$83:L83)</f>
        <v>13190459.176135276</v>
      </c>
      <c r="M84" s="278">
        <f>SUM($B$83:M83)</f>
        <v>15024128.416159451</v>
      </c>
      <c r="N84" s="278">
        <f>SUM($B$83:N83)</f>
        <v>16934388.764996089</v>
      </c>
      <c r="O84" s="278">
        <f>SUM($B$83:O83)</f>
        <v>18924457.049215317</v>
      </c>
      <c r="P84" s="278">
        <f>SUM($B$83:P83)</f>
        <v>20997685.202103198</v>
      </c>
      <c r="Q84" s="278">
        <f>SUM($B$83:Q83)</f>
        <v>23157565.93814382</v>
      </c>
      <c r="R84" s="278">
        <f>SUM($B$83:R83)</f>
        <v>25407738.665829595</v>
      </c>
      <c r="S84" s="278">
        <f>SUM($B$83:S83)</f>
        <v>27751995.648809619</v>
      </c>
      <c r="T84" s="278">
        <f>SUM($B$83:T83)</f>
        <v>30194288.425806254</v>
      </c>
      <c r="U84" s="278">
        <f>SUM($B$83:U83)</f>
        <v>32738734.500168197</v>
      </c>
      <c r="V84" s="278">
        <f>SUM($B$83:V83)</f>
        <v>35389624.310384788</v>
      </c>
      <c r="W84" s="278">
        <f>SUM($B$83:W83)</f>
        <v>38151428.49336192</v>
      </c>
      <c r="X84" s="278">
        <f>SUM($B$83:X83)</f>
        <v>41028805.452755541</v>
      </c>
      <c r="Y84" s="278">
        <f>SUM($B$83:Y83)</f>
        <v>44026609.245175146</v>
      </c>
      <c r="Z84" s="278">
        <f>SUM($B$83:Z83)</f>
        <v>47149897.797607817</v>
      </c>
      <c r="AA84" s="278">
        <f>SUM($B$83:AA83)</f>
        <v>50403941.469974115</v>
      </c>
      <c r="AB84" s="278">
        <f>SUM($B$83:AB83)</f>
        <v>53794231.977311246</v>
      </c>
      <c r="AC84" s="278">
        <f>SUM($B$83:AC83)</f>
        <v>57326491.686687984</v>
      </c>
      <c r="AD84" s="278">
        <f>SUM($B$83:AD83)</f>
        <v>61006683.304589987</v>
      </c>
      <c r="AE84" s="278">
        <f>SUM($B$83:AE83)</f>
        <v>64841019.971175328</v>
      </c>
      <c r="AF84" s="278">
        <f>SUM($B$83:AF83)</f>
        <v>68835975.778488696</v>
      </c>
      <c r="AG84" s="278">
        <f>SUM($B$83:AG83)</f>
        <v>72998296.730440676</v>
      </c>
      <c r="AH84" s="278">
        <f>SUM($B$83:AH83)</f>
        <v>77335012.163106084</v>
      </c>
      <c r="AI84" s="278">
        <f>SUM($B$83:AI83)</f>
        <v>81853446.644674897</v>
      </c>
      <c r="AJ84" s="278">
        <f>SUM($B$83:AJ83)</f>
        <v>86561232.375201046</v>
      </c>
      <c r="AK84" s="278">
        <f>SUM($B$83:AK83)</f>
        <v>91466322.107140735</v>
      </c>
      <c r="AL84" s="278">
        <f>SUM($B$83:AL83)</f>
        <v>96577002.608553335</v>
      </c>
      <c r="AM84" s="278">
        <f>SUM($B$83:AM83)</f>
        <v>101901908.69175673</v>
      </c>
      <c r="AN84" s="278">
        <f>SUM($B$83:AN83)</f>
        <v>107450037.8311861</v>
      </c>
      <c r="AO84" s="278">
        <f>SUM($B$83:AO83)</f>
        <v>113230765.39520296</v>
      </c>
      <c r="AP84" s="278">
        <f>SUM($B$83:AP83)</f>
        <v>119253860.51763998</v>
      </c>
    </row>
    <row r="85" spans="1:45" x14ac:dyDescent="0.2">
      <c r="A85" s="231" t="s">
        <v>540</v>
      </c>
      <c r="B85" s="279">
        <f t="shared" ref="B85:AP85" si="31">1/POWER((1+$B$44),B73)</f>
        <v>0.75599588161705711</v>
      </c>
      <c r="C85" s="279">
        <f t="shared" si="31"/>
        <v>0.6273824743710017</v>
      </c>
      <c r="D85" s="279">
        <f t="shared" si="31"/>
        <v>0.52064935632448273</v>
      </c>
      <c r="E85" s="279">
        <f t="shared" si="31"/>
        <v>0.43207415462612664</v>
      </c>
      <c r="F85" s="279">
        <f t="shared" si="31"/>
        <v>0.35856776317520883</v>
      </c>
      <c r="G85" s="279">
        <f t="shared" si="31"/>
        <v>0.29756660844415667</v>
      </c>
      <c r="H85" s="279">
        <f t="shared" si="31"/>
        <v>0.24694324352212174</v>
      </c>
      <c r="I85" s="279">
        <f t="shared" si="31"/>
        <v>0.20493215230051592</v>
      </c>
      <c r="J85" s="279">
        <f t="shared" si="31"/>
        <v>0.1700681761830008</v>
      </c>
      <c r="K85" s="279">
        <f t="shared" si="31"/>
        <v>0.14113541591950271</v>
      </c>
      <c r="L85" s="279">
        <f t="shared" si="31"/>
        <v>0.11712482648921385</v>
      </c>
      <c r="M85" s="279">
        <f t="shared" si="31"/>
        <v>9.719902613212765E-2</v>
      </c>
      <c r="N85" s="279">
        <f t="shared" si="31"/>
        <v>8.0663092225832109E-2</v>
      </c>
      <c r="O85" s="279">
        <f t="shared" si="31"/>
        <v>6.6940325498615838E-2</v>
      </c>
      <c r="P85" s="279">
        <f t="shared" si="31"/>
        <v>5.5552137343249659E-2</v>
      </c>
      <c r="Q85" s="279">
        <f t="shared" si="31"/>
        <v>4.6101358791078552E-2</v>
      </c>
      <c r="R85" s="279">
        <f t="shared" si="31"/>
        <v>3.825838903823945E-2</v>
      </c>
      <c r="S85" s="279">
        <f t="shared" si="31"/>
        <v>3.174970044667174E-2</v>
      </c>
      <c r="T85" s="279">
        <f t="shared" si="31"/>
        <v>2.6348299125868668E-2</v>
      </c>
      <c r="U85" s="279">
        <f t="shared" si="31"/>
        <v>2.1865808403210511E-2</v>
      </c>
      <c r="V85" s="279">
        <f t="shared" si="31"/>
        <v>1.814589908980126E-2</v>
      </c>
      <c r="W85" s="279">
        <f t="shared" si="31"/>
        <v>1.5058837418922204E-2</v>
      </c>
      <c r="X85" s="279">
        <f t="shared" si="31"/>
        <v>1.2496960513628384E-2</v>
      </c>
      <c r="Y85" s="279">
        <f t="shared" si="31"/>
        <v>1.0370921588073345E-2</v>
      </c>
      <c r="Z85" s="279">
        <f t="shared" si="31"/>
        <v>8.6065739320110735E-3</v>
      </c>
      <c r="AA85" s="279">
        <f t="shared" si="31"/>
        <v>7.1423850058183183E-3</v>
      </c>
      <c r="AB85" s="279">
        <f t="shared" si="31"/>
        <v>5.9272904612600145E-3</v>
      </c>
      <c r="AC85" s="279">
        <f t="shared" si="31"/>
        <v>4.9189132458589318E-3</v>
      </c>
      <c r="AD85" s="279">
        <f t="shared" si="31"/>
        <v>4.082085681210732E-3</v>
      </c>
      <c r="AE85" s="279">
        <f t="shared" si="31"/>
        <v>3.3876229719591129E-3</v>
      </c>
      <c r="AF85" s="279">
        <f t="shared" si="31"/>
        <v>2.8113053709204251E-3</v>
      </c>
      <c r="AG85" s="279">
        <f t="shared" si="31"/>
        <v>2.3330335028385286E-3</v>
      </c>
      <c r="AH85" s="279">
        <f t="shared" si="31"/>
        <v>1.9361273882477412E-3</v>
      </c>
      <c r="AI85" s="279">
        <f t="shared" si="31"/>
        <v>1.6067447205375444E-3</v>
      </c>
      <c r="AJ85" s="279">
        <f t="shared" si="31"/>
        <v>1.3333981083299121E-3</v>
      </c>
      <c r="AK85" s="279">
        <f t="shared" si="31"/>
        <v>1.1065544467468149E-3</v>
      </c>
      <c r="AL85" s="279">
        <f t="shared" si="31"/>
        <v>9.1830244543304122E-4</v>
      </c>
      <c r="AM85" s="279">
        <f t="shared" si="31"/>
        <v>7.6207671820169396E-4</v>
      </c>
      <c r="AN85" s="279">
        <f t="shared" si="31"/>
        <v>6.3242881178563804E-4</v>
      </c>
      <c r="AO85" s="279">
        <f t="shared" si="31"/>
        <v>5.2483718820384888E-4</v>
      </c>
      <c r="AP85" s="279">
        <f t="shared" si="31"/>
        <v>4.3554953377912764E-4</v>
      </c>
    </row>
    <row r="86" spans="1:45" ht="28.5" x14ac:dyDescent="0.2">
      <c r="A86" s="230" t="s">
        <v>298</v>
      </c>
      <c r="B86" s="278">
        <f>B83*B85</f>
        <v>-229147.67468513263</v>
      </c>
      <c r="C86" s="278">
        <f>C83*C85</f>
        <v>250725.77620388361</v>
      </c>
      <c r="D86" s="278">
        <f t="shared" ref="D86:AO86" si="32">D83*D85</f>
        <v>435420.79977119621</v>
      </c>
      <c r="E86" s="278">
        <f t="shared" si="32"/>
        <v>571302.69830397714</v>
      </c>
      <c r="F86" s="278">
        <f t="shared" si="32"/>
        <v>493871.07434139174</v>
      </c>
      <c r="G86" s="278">
        <f t="shared" si="32"/>
        <v>426939.40710554417</v>
      </c>
      <c r="H86" s="278">
        <f t="shared" si="32"/>
        <v>369082.9807022902</v>
      </c>
      <c r="I86" s="278">
        <f t="shared" si="32"/>
        <v>319070.546954691</v>
      </c>
      <c r="J86" s="278">
        <f t="shared" si="32"/>
        <v>275838.02803009312</v>
      </c>
      <c r="K86" s="278">
        <f t="shared" si="32"/>
        <v>238465.79791969093</v>
      </c>
      <c r="L86" s="278">
        <f t="shared" si="32"/>
        <v>206159.05498308482</v>
      </c>
      <c r="M86" s="278">
        <f t="shared" si="32"/>
        <v>178230.86437878848</v>
      </c>
      <c r="N86" s="278">
        <f t="shared" si="32"/>
        <v>154087.50669356005</v>
      </c>
      <c r="O86" s="278">
        <f t="shared" si="32"/>
        <v>133215.81871010692</v>
      </c>
      <c r="P86" s="278">
        <f t="shared" si="32"/>
        <v>115172.25509311941</v>
      </c>
      <c r="Q86" s="278">
        <f t="shared" si="32"/>
        <v>99573.436758147451</v>
      </c>
      <c r="R86" s="278">
        <f t="shared" si="32"/>
        <v>86087.983619038787</v>
      </c>
      <c r="S86" s="278">
        <f t="shared" si="32"/>
        <v>74429.456979634255</v>
      </c>
      <c r="T86" s="278">
        <f t="shared" si="32"/>
        <v>64350.260641255787</v>
      </c>
      <c r="U86" s="278">
        <f t="shared" si="32"/>
        <v>55636.370354299324</v>
      </c>
      <c r="V86" s="278">
        <f t="shared" si="32"/>
        <v>48102.778994372668</v>
      </c>
      <c r="W86" s="278">
        <f t="shared" si="32"/>
        <v>41589.560174351936</v>
      </c>
      <c r="X86" s="278">
        <f t="shared" si="32"/>
        <v>35958.466244366209</v>
      </c>
      <c r="Y86" s="278">
        <f t="shared" si="32"/>
        <v>31089.988067612612</v>
      </c>
      <c r="Z86" s="278">
        <f t="shared" si="32"/>
        <v>26880.813837515656</v>
      </c>
      <c r="AA86" s="278">
        <f t="shared" si="32"/>
        <v>23241.632733787003</v>
      </c>
      <c r="AB86" s="278">
        <f t="shared" si="32"/>
        <v>20095.236585039733</v>
      </c>
      <c r="AC86" s="278">
        <f t="shared" si="32"/>
        <v>17374.879072267046</v>
      </c>
      <c r="AD86" s="278">
        <f t="shared" si="32"/>
        <v>15022.857507549539</v>
      </c>
      <c r="AE86" s="278">
        <f t="shared" si="32"/>
        <v>12989.286973949625</v>
      </c>
      <c r="AF86" s="278">
        <f t="shared" si="32"/>
        <v>11231.04071768983</v>
      </c>
      <c r="AG86" s="278">
        <f t="shared" si="32"/>
        <v>9710.8342304707312</v>
      </c>
      <c r="AH86" s="278">
        <f t="shared" si="32"/>
        <v>8396.4335242201578</v>
      </c>
      <c r="AI86" s="278">
        <f t="shared" si="32"/>
        <v>7259.9707483554812</v>
      </c>
      <c r="AJ86" s="278">
        <f t="shared" si="32"/>
        <v>6277.3525875061177</v>
      </c>
      <c r="AK86" s="278">
        <f t="shared" si="32"/>
        <v>5427.748854570008</v>
      </c>
      <c r="AL86" s="278">
        <f t="shared" si="32"/>
        <v>4693.1504022741583</v>
      </c>
      <c r="AM86" s="278">
        <f t="shared" si="32"/>
        <v>4057.9869526198722</v>
      </c>
      <c r="AN86" s="278">
        <f t="shared" si="32"/>
        <v>3508.796719282594</v>
      </c>
      <c r="AO86" s="278">
        <f t="shared" si="32"/>
        <v>3033.9408004710931</v>
      </c>
      <c r="AP86" s="278">
        <f>AP83*AP85</f>
        <v>2623.3562724847793</v>
      </c>
    </row>
    <row r="87" spans="1:45" ht="14.25" x14ac:dyDescent="0.2">
      <c r="A87" s="230" t="s">
        <v>297</v>
      </c>
      <c r="B87" s="278">
        <f>SUM($B$86:B86)</f>
        <v>-229147.67468513263</v>
      </c>
      <c r="C87" s="278">
        <f>SUM($B$86:C86)</f>
        <v>21578.101518750977</v>
      </c>
      <c r="D87" s="278">
        <f>SUM($B$86:D86)</f>
        <v>456998.90128994721</v>
      </c>
      <c r="E87" s="278">
        <f>SUM($B$86:E86)</f>
        <v>1028301.5995939244</v>
      </c>
      <c r="F87" s="278">
        <f>SUM($B$86:F86)</f>
        <v>1522172.673935316</v>
      </c>
      <c r="G87" s="278">
        <f>SUM($B$86:G86)</f>
        <v>1949112.0810408602</v>
      </c>
      <c r="H87" s="278">
        <f>SUM($B$86:H86)</f>
        <v>2318195.0617431505</v>
      </c>
      <c r="I87" s="278">
        <f>SUM($B$86:I86)</f>
        <v>2637265.6086978414</v>
      </c>
      <c r="J87" s="278">
        <f>SUM($B$86:J86)</f>
        <v>2913103.6367279347</v>
      </c>
      <c r="K87" s="278">
        <f>SUM($B$86:K86)</f>
        <v>3151569.4346476258</v>
      </c>
      <c r="L87" s="278">
        <f>SUM($B$86:L86)</f>
        <v>3357728.4896307108</v>
      </c>
      <c r="M87" s="278">
        <f>SUM($B$86:M86)</f>
        <v>3535959.3540094993</v>
      </c>
      <c r="N87" s="278">
        <f>SUM($B$86:N86)</f>
        <v>3690046.8607030595</v>
      </c>
      <c r="O87" s="278">
        <f>SUM($B$86:O86)</f>
        <v>3823262.6794131664</v>
      </c>
      <c r="P87" s="278">
        <f>SUM($B$86:P86)</f>
        <v>3938434.9345062859</v>
      </c>
      <c r="Q87" s="278">
        <f>SUM($B$86:Q86)</f>
        <v>4038008.3712644335</v>
      </c>
      <c r="R87" s="278">
        <f>SUM($B$86:R86)</f>
        <v>4124096.3548834724</v>
      </c>
      <c r="S87" s="278">
        <f>SUM($B$86:S86)</f>
        <v>4198525.8118631067</v>
      </c>
      <c r="T87" s="278">
        <f>SUM($B$86:T86)</f>
        <v>4262876.0725043621</v>
      </c>
      <c r="U87" s="278">
        <f>SUM($B$86:U86)</f>
        <v>4318512.4428586615</v>
      </c>
      <c r="V87" s="278">
        <f>SUM($B$86:V86)</f>
        <v>4366615.2218530346</v>
      </c>
      <c r="W87" s="278">
        <f>SUM($B$86:W86)</f>
        <v>4408204.7820273861</v>
      </c>
      <c r="X87" s="278">
        <f>SUM($B$86:X86)</f>
        <v>4444163.2482717521</v>
      </c>
      <c r="Y87" s="278">
        <f>SUM($B$86:Y86)</f>
        <v>4475253.2363393651</v>
      </c>
      <c r="Z87" s="278">
        <f>SUM($B$86:Z86)</f>
        <v>4502134.0501768813</v>
      </c>
      <c r="AA87" s="278">
        <f>SUM($B$86:AA86)</f>
        <v>4525375.6829106687</v>
      </c>
      <c r="AB87" s="278">
        <f>SUM($B$86:AB86)</f>
        <v>4545470.9194957083</v>
      </c>
      <c r="AC87" s="278">
        <f>SUM($B$86:AC86)</f>
        <v>4562845.7985679749</v>
      </c>
      <c r="AD87" s="278">
        <f>SUM($B$86:AD86)</f>
        <v>4577868.6560755242</v>
      </c>
      <c r="AE87" s="278">
        <f>SUM($B$86:AE86)</f>
        <v>4590857.9430494737</v>
      </c>
      <c r="AF87" s="278">
        <f>SUM($B$86:AF86)</f>
        <v>4602088.9837671639</v>
      </c>
      <c r="AG87" s="278">
        <f>SUM($B$86:AG86)</f>
        <v>4611799.8179976344</v>
      </c>
      <c r="AH87" s="278">
        <f>SUM($B$86:AH86)</f>
        <v>4620196.2515218547</v>
      </c>
      <c r="AI87" s="278">
        <f>SUM($B$86:AI86)</f>
        <v>4627456.2222702103</v>
      </c>
      <c r="AJ87" s="278">
        <f>SUM($B$86:AJ86)</f>
        <v>4633733.5748577164</v>
      </c>
      <c r="AK87" s="278">
        <f>SUM($B$86:AK86)</f>
        <v>4639161.3237122865</v>
      </c>
      <c r="AL87" s="278">
        <f>SUM($B$86:AL86)</f>
        <v>4643854.4741145605</v>
      </c>
      <c r="AM87" s="278">
        <f>SUM($B$86:AM86)</f>
        <v>4647912.4610671801</v>
      </c>
      <c r="AN87" s="278">
        <f>SUM($B$86:AN86)</f>
        <v>4651421.257786463</v>
      </c>
      <c r="AO87" s="278">
        <f>SUM($B$86:AO86)</f>
        <v>4654455.1985869342</v>
      </c>
      <c r="AP87" s="278">
        <f>SUM($B$86:AP86)</f>
        <v>4657078.5548594194</v>
      </c>
    </row>
    <row r="88" spans="1:45" ht="14.25" x14ac:dyDescent="0.2">
      <c r="A88" s="230" t="s">
        <v>296</v>
      </c>
      <c r="B88" s="280">
        <f>IF((ISERR(IRR($B$83:B83))),0,IF(IRR($B$83:B83)&lt;0,0,IRR($B$83:B83)))</f>
        <v>0</v>
      </c>
      <c r="C88" s="280">
        <f>IF((ISERR(IRR($B$83:C83))),0,IF(IRR($B$83:C83)&lt;0,0,IRR($B$83:C83)))</f>
        <v>0.31847098488266701</v>
      </c>
      <c r="D88" s="280">
        <f>IF((ISERR(IRR($B$83:D83))),0,IF(IRR($B$83:D83)&lt;0,0,IRR($B$83:D83)))</f>
        <v>1.4463263632206278</v>
      </c>
      <c r="E88" s="280">
        <f>IF((ISERR(IRR($B$83:E83))),0,IF(IRR($B$83:E83)&lt;0,0,IRR($B$83:E83)))</f>
        <v>1.834685352767111</v>
      </c>
      <c r="F88" s="280">
        <f>IF((ISERR(IRR($B$83:F83))),0,IF(IRR($B$83:F83)&lt;0,0,IRR($B$83:F83)))</f>
        <v>1.9402372659823786</v>
      </c>
      <c r="G88" s="280">
        <f>IF((ISERR(IRR($B$83:G83))),0,IF(IRR($B$83:G83)&lt;0,0,IRR($B$83:G83)))</f>
        <v>1.9733059278159919</v>
      </c>
      <c r="H88" s="280">
        <f>IF((ISERR(IRR($B$83:H83))),0,IF(IRR($B$83:H83)&lt;0,0,IRR($B$83:H83)))</f>
        <v>1.9842993311684727</v>
      </c>
      <c r="I88" s="280">
        <f>IF((ISERR(IRR($B$83:I83))),0,IF(IRR($B$83:I83)&lt;0,0,IRR($B$83:I83)))</f>
        <v>1.9880522785228085</v>
      </c>
      <c r="J88" s="280">
        <f>IF((ISERR(IRR($B$83:J83))),0,IF(IRR($B$83:J83)&lt;0,0,IRR($B$83:J83)))</f>
        <v>1.9893485996877063</v>
      </c>
      <c r="K88" s="280">
        <f>IF((ISERR(IRR($B$83:K83))),0,IF(IRR($B$83:K83)&lt;0,0,IRR($B$83:K83)))</f>
        <v>1.9897986403455508</v>
      </c>
      <c r="L88" s="280">
        <f>IF((ISERR(IRR($B$83:L83))),0,IF(IRR($B$83:L83)&lt;0,0,IRR($B$83:L83)))</f>
        <v>1.9899552125626832</v>
      </c>
      <c r="M88" s="280">
        <f>IF((ISERR(IRR($B$83:M83))),0,IF(IRR($B$83:M83)&lt;0,0,IRR($B$83:M83)))</f>
        <v>1.9900097328121236</v>
      </c>
      <c r="N88" s="280">
        <f>IF((ISERR(IRR($B$83:N83))),0,IF(IRR($B$83:N83)&lt;0,0,IRR($B$83:N83)))</f>
        <v>1.9900287241550951</v>
      </c>
      <c r="O88" s="280">
        <f>IF((ISERR(IRR($B$83:O83))),0,IF(IRR($B$83:O83)&lt;0,0,IRR($B$83:O83)))</f>
        <v>1.9900353404793529</v>
      </c>
      <c r="P88" s="280">
        <f>IF((ISERR(IRR($B$83:P83))),0,IF(IRR($B$83:P83)&lt;0,0,IRR($B$83:P83)))</f>
        <v>1.9900376456589393</v>
      </c>
      <c r="Q88" s="280">
        <f>IF((ISERR(IRR($B$83:Q83))),0,IF(IRR($B$83:Q83)&lt;0,0,IRR($B$83:Q83)))</f>
        <v>1.9900384488245688</v>
      </c>
      <c r="R88" s="280">
        <f>IF((ISERR(IRR($B$83:R83))),0,IF(IRR($B$83:R83)&lt;0,0,IRR($B$83:R83)))</f>
        <v>1.9900387286661907</v>
      </c>
      <c r="S88" s="280">
        <f>IF((ISERR(IRR($B$83:S83))),0,IF(IRR($B$83:S83)&lt;0,0,IRR($B$83:S83)))</f>
        <v>1.9900388261705571</v>
      </c>
      <c r="T88" s="280">
        <f>IF((ISERR(IRR($B$83:T83))),0,IF(IRR($B$83:T83)&lt;0,0,IRR($B$83:T83)))</f>
        <v>1.9900388601439913</v>
      </c>
      <c r="U88" s="280">
        <f>IF((ISERR(IRR($B$83:U83))),0,IF(IRR($B$83:U83)&lt;0,0,IRR($B$83:U83)))</f>
        <v>1.990038871981437</v>
      </c>
      <c r="V88" s="280">
        <f>IF((ISERR(IRR($B$83:V83))),0,IF(IRR($B$83:V83)&lt;0,0,IRR($B$83:V83)))</f>
        <v>1.9900388761060155</v>
      </c>
      <c r="W88" s="280">
        <f>IF((ISERR(IRR($B$83:W83))),0,IF(IRR($B$83:W83)&lt;0,0,IRR($B$83:W83)))</f>
        <v>1.9900388775431699</v>
      </c>
      <c r="X88" s="280">
        <f>IF((ISERR(IRR($B$83:X83))),0,IF(IRR($B$83:X83)&lt;0,0,IRR($B$83:X83)))</f>
        <v>1.9900388780439244</v>
      </c>
      <c r="Y88" s="280">
        <f>IF((ISERR(IRR($B$83:Y83))),0,IF(IRR($B$83:Y83)&lt;0,0,IRR($B$83:Y83)))</f>
        <v>1.9900388782183973</v>
      </c>
      <c r="Z88" s="280">
        <f>IF((ISERR(IRR($B$83:Z83))),0,IF(IRR($B$83:Z83)&lt;0,0,IRR($B$83:Z83)))</f>
        <v>1.990038878279166</v>
      </c>
      <c r="AA88" s="280">
        <f>IF((ISERR(IRR($B$83:AA83))),0,IF(IRR($B$83:AA83)&lt;0,0,IRR($B$83:AA83)))</f>
        <v>1.9900388783002909</v>
      </c>
      <c r="AB88" s="280">
        <f>IF((ISERR(IRR($B$83:AB83))),0,IF(IRR($B$83:AB83)&lt;0,0,IRR($B$83:AB83)))</f>
        <v>1.9900388783075575</v>
      </c>
      <c r="AC88" s="280">
        <f>IF((ISERR(IRR($B$83:AC83))),0,IF(IRR($B$83:AC83)&lt;0,0,IRR($B$83:AC83)))</f>
        <v>1.990038878309925</v>
      </c>
      <c r="AD88" s="280">
        <f>IF((ISERR(IRR($B$83:AD83))),0,IF(IRR($B$83:AD83)&lt;0,0,IRR($B$83:AD83)))</f>
        <v>1.9900388783112528</v>
      </c>
      <c r="AE88" s="280">
        <f>IF((ISERR(IRR($B$83:AE83))),0,IF(IRR($B$83:AE83)&lt;0,0,IRR($B$83:AE83)))</f>
        <v>1.9900388783115659</v>
      </c>
      <c r="AF88" s="280">
        <f>IF((ISERR(IRR($B$83:AF83))),0,IF(IRR($B$83:AF83)&lt;0,0,IRR($B$83:AF83)))</f>
        <v>1.9900388783116747</v>
      </c>
      <c r="AG88" s="280">
        <f>IF((ISERR(IRR($B$83:AG83))),0,IF(IRR($B$83:AG83)&lt;0,0,IRR($B$83:AG83)))</f>
        <v>1.9900388783117124</v>
      </c>
      <c r="AH88" s="280">
        <f>IF((ISERR(IRR($B$83:AH83))),0,IF(IRR($B$83:AH83)&lt;0,0,IRR($B$83:AH83)))</f>
        <v>1.9900388783117253</v>
      </c>
      <c r="AI88" s="280">
        <f>IF((ISERR(IRR($B$83:AI83))),0,IF(IRR($B$83:AI83)&lt;0,0,IRR($B$83:AI83)))</f>
        <v>1.9900388783117307</v>
      </c>
      <c r="AJ88" s="280">
        <f>IF((ISERR(IRR($B$83:AJ83))),0,IF(IRR($B$83:AJ83)&lt;0,0,IRR($B$83:AJ83)))</f>
        <v>1.9900388783117315</v>
      </c>
      <c r="AK88" s="280">
        <f>IF((ISERR(IRR($B$83:AK83))),0,IF(IRR($B$83:AK83)&lt;0,0,IRR($B$83:AK83)))</f>
        <v>1.9900388783117324</v>
      </c>
      <c r="AL88" s="280">
        <f>IF((ISERR(IRR($B$83:AL83))),0,IF(IRR($B$83:AL83)&lt;0,0,IRR($B$83:AL83)))</f>
        <v>1.9900388783117324</v>
      </c>
      <c r="AM88" s="280">
        <f>IF((ISERR(IRR($B$83:AM83))),0,IF(IRR($B$83:AM83)&lt;0,0,IRR($B$83:AM83)))</f>
        <v>1.9900388783117324</v>
      </c>
      <c r="AN88" s="280">
        <f>IF((ISERR(IRR($B$83:AN83))),0,IF(IRR($B$83:AN83)&lt;0,0,IRR($B$83:AN83)))</f>
        <v>1.9900388783117333</v>
      </c>
      <c r="AO88" s="280">
        <f>IF((ISERR(IRR($B$83:AO83))),0,IF(IRR($B$83:AO83)&lt;0,0,IRR($B$83:AO83)))</f>
        <v>1.9900388783117324</v>
      </c>
      <c r="AP88" s="280">
        <f>IF((ISERR(IRR($B$83:AP83))),0,IF(IRR($B$83:AP83)&lt;0,0,IRR($B$83:AP83)))</f>
        <v>1.9900388783117324</v>
      </c>
    </row>
    <row r="89" spans="1:45" ht="14.25" x14ac:dyDescent="0.2">
      <c r="A89" s="230" t="s">
        <v>295</v>
      </c>
      <c r="B89" s="281">
        <f>IF(AND(B84&gt;0,A84&lt;0),(B74-(B84/(B84-A84))),0)</f>
        <v>0</v>
      </c>
      <c r="C89" s="281">
        <f t="shared" ref="C89:AP89" si="33">IF(AND(C84&gt;0,B84&lt;0),(C74-(C84/(C84-B84))),0)</f>
        <v>1.7584543091700966</v>
      </c>
      <c r="D89" s="281">
        <f t="shared" si="33"/>
        <v>0</v>
      </c>
      <c r="E89" s="281">
        <f t="shared" si="33"/>
        <v>0</v>
      </c>
      <c r="F89" s="281">
        <f t="shared" si="33"/>
        <v>0</v>
      </c>
      <c r="G89" s="281">
        <f t="shared" si="33"/>
        <v>0</v>
      </c>
      <c r="H89" s="281">
        <f>IF(AND(H84&gt;0,G84&lt;0),(H74-(H84/(H84-G84))),0)</f>
        <v>0</v>
      </c>
      <c r="I89" s="281">
        <f t="shared" si="33"/>
        <v>0</v>
      </c>
      <c r="J89" s="281">
        <f t="shared" si="33"/>
        <v>0</v>
      </c>
      <c r="K89" s="281">
        <f t="shared" si="33"/>
        <v>0</v>
      </c>
      <c r="L89" s="281">
        <f t="shared" si="33"/>
        <v>0</v>
      </c>
      <c r="M89" s="281">
        <f t="shared" si="33"/>
        <v>0</v>
      </c>
      <c r="N89" s="281">
        <f t="shared" si="33"/>
        <v>0</v>
      </c>
      <c r="O89" s="281">
        <f t="shared" si="33"/>
        <v>0</v>
      </c>
      <c r="P89" s="281">
        <f t="shared" si="33"/>
        <v>0</v>
      </c>
      <c r="Q89" s="281">
        <f t="shared" si="33"/>
        <v>0</v>
      </c>
      <c r="R89" s="281">
        <f t="shared" si="33"/>
        <v>0</v>
      </c>
      <c r="S89" s="281">
        <f t="shared" si="33"/>
        <v>0</v>
      </c>
      <c r="T89" s="281">
        <f t="shared" si="33"/>
        <v>0</v>
      </c>
      <c r="U89" s="281">
        <f t="shared" si="33"/>
        <v>0</v>
      </c>
      <c r="V89" s="281">
        <f t="shared" si="33"/>
        <v>0</v>
      </c>
      <c r="W89" s="281">
        <f t="shared" si="33"/>
        <v>0</v>
      </c>
      <c r="X89" s="281">
        <f t="shared" si="33"/>
        <v>0</v>
      </c>
      <c r="Y89" s="281">
        <f t="shared" si="33"/>
        <v>0</v>
      </c>
      <c r="Z89" s="281">
        <f t="shared" si="33"/>
        <v>0</v>
      </c>
      <c r="AA89" s="281">
        <f t="shared" si="33"/>
        <v>0</v>
      </c>
      <c r="AB89" s="281">
        <f t="shared" si="33"/>
        <v>0</v>
      </c>
      <c r="AC89" s="281">
        <f t="shared" si="33"/>
        <v>0</v>
      </c>
      <c r="AD89" s="281">
        <f t="shared" si="33"/>
        <v>0</v>
      </c>
      <c r="AE89" s="281">
        <f t="shared" si="33"/>
        <v>0</v>
      </c>
      <c r="AF89" s="281">
        <f t="shared" si="33"/>
        <v>0</v>
      </c>
      <c r="AG89" s="281">
        <f t="shared" si="33"/>
        <v>0</v>
      </c>
      <c r="AH89" s="281">
        <f t="shared" si="33"/>
        <v>0</v>
      </c>
      <c r="AI89" s="281">
        <f t="shared" si="33"/>
        <v>0</v>
      </c>
      <c r="AJ89" s="281">
        <f t="shared" si="33"/>
        <v>0</v>
      </c>
      <c r="AK89" s="281">
        <f t="shared" si="33"/>
        <v>0</v>
      </c>
      <c r="AL89" s="281">
        <f t="shared" si="33"/>
        <v>0</v>
      </c>
      <c r="AM89" s="281">
        <f t="shared" si="33"/>
        <v>0</v>
      </c>
      <c r="AN89" s="281">
        <f t="shared" si="33"/>
        <v>0</v>
      </c>
      <c r="AO89" s="281">
        <f t="shared" si="33"/>
        <v>0</v>
      </c>
      <c r="AP89" s="281">
        <f t="shared" si="33"/>
        <v>0</v>
      </c>
    </row>
    <row r="90" spans="1:45" ht="15" thickBot="1" x14ac:dyDescent="0.25">
      <c r="A90" s="240" t="s">
        <v>294</v>
      </c>
      <c r="B90" s="241">
        <f t="shared" ref="B90:AP90" si="34">IF(AND(B87&gt;0,A87&lt;0),(B74-(B87/(B87-A87))),0)</f>
        <v>0</v>
      </c>
      <c r="C90" s="241">
        <f t="shared" si="34"/>
        <v>1.9139374425499665</v>
      </c>
      <c r="D90" s="241">
        <f t="shared" si="34"/>
        <v>0</v>
      </c>
      <c r="E90" s="241">
        <f t="shared" si="34"/>
        <v>0</v>
      </c>
      <c r="F90" s="241">
        <f t="shared" si="34"/>
        <v>0</v>
      </c>
      <c r="G90" s="241">
        <f t="shared" si="34"/>
        <v>0</v>
      </c>
      <c r="H90" s="241">
        <f t="shared" si="34"/>
        <v>0</v>
      </c>
      <c r="I90" s="241">
        <f t="shared" si="34"/>
        <v>0</v>
      </c>
      <c r="J90" s="241">
        <f t="shared" si="34"/>
        <v>0</v>
      </c>
      <c r="K90" s="241">
        <f t="shared" si="34"/>
        <v>0</v>
      </c>
      <c r="L90" s="241">
        <f t="shared" si="34"/>
        <v>0</v>
      </c>
      <c r="M90" s="241">
        <f t="shared" si="34"/>
        <v>0</v>
      </c>
      <c r="N90" s="241">
        <f t="shared" si="34"/>
        <v>0</v>
      </c>
      <c r="O90" s="241">
        <f t="shared" si="34"/>
        <v>0</v>
      </c>
      <c r="P90" s="241">
        <f t="shared" si="34"/>
        <v>0</v>
      </c>
      <c r="Q90" s="241">
        <f t="shared" si="34"/>
        <v>0</v>
      </c>
      <c r="R90" s="241">
        <f t="shared" si="34"/>
        <v>0</v>
      </c>
      <c r="S90" s="241">
        <f t="shared" si="34"/>
        <v>0</v>
      </c>
      <c r="T90" s="241">
        <f t="shared" si="34"/>
        <v>0</v>
      </c>
      <c r="U90" s="241">
        <f t="shared" si="34"/>
        <v>0</v>
      </c>
      <c r="V90" s="241">
        <f t="shared" si="34"/>
        <v>0</v>
      </c>
      <c r="W90" s="241">
        <f t="shared" si="34"/>
        <v>0</v>
      </c>
      <c r="X90" s="241">
        <f t="shared" si="34"/>
        <v>0</v>
      </c>
      <c r="Y90" s="241">
        <f t="shared" si="34"/>
        <v>0</v>
      </c>
      <c r="Z90" s="241">
        <f t="shared" si="34"/>
        <v>0</v>
      </c>
      <c r="AA90" s="241">
        <f t="shared" si="34"/>
        <v>0</v>
      </c>
      <c r="AB90" s="241">
        <f t="shared" si="34"/>
        <v>0</v>
      </c>
      <c r="AC90" s="241">
        <f t="shared" si="34"/>
        <v>0</v>
      </c>
      <c r="AD90" s="241">
        <f t="shared" si="34"/>
        <v>0</v>
      </c>
      <c r="AE90" s="241">
        <f t="shared" si="34"/>
        <v>0</v>
      </c>
      <c r="AF90" s="241">
        <f t="shared" si="34"/>
        <v>0</v>
      </c>
      <c r="AG90" s="241">
        <f t="shared" si="34"/>
        <v>0</v>
      </c>
      <c r="AH90" s="241">
        <f t="shared" si="34"/>
        <v>0</v>
      </c>
      <c r="AI90" s="241">
        <f t="shared" si="34"/>
        <v>0</v>
      </c>
      <c r="AJ90" s="241">
        <f t="shared" si="34"/>
        <v>0</v>
      </c>
      <c r="AK90" s="241">
        <f t="shared" si="34"/>
        <v>0</v>
      </c>
      <c r="AL90" s="241">
        <f t="shared" si="34"/>
        <v>0</v>
      </c>
      <c r="AM90" s="241">
        <f t="shared" si="34"/>
        <v>0</v>
      </c>
      <c r="AN90" s="241">
        <f t="shared" si="34"/>
        <v>0</v>
      </c>
      <c r="AO90" s="241">
        <f t="shared" si="34"/>
        <v>0</v>
      </c>
      <c r="AP90" s="241">
        <f t="shared" si="34"/>
        <v>0</v>
      </c>
    </row>
    <row r="91" spans="1:45" s="218" customFormat="1" x14ac:dyDescent="0.2">
      <c r="A91" s="192"/>
      <c r="B91" s="242">
        <v>2019</v>
      </c>
      <c r="C91" s="242">
        <f>B91+1</f>
        <v>2020</v>
      </c>
      <c r="D91" s="177">
        <f t="shared" ref="D91:AP91" si="35">C91+1</f>
        <v>2021</v>
      </c>
      <c r="E91" s="177">
        <f t="shared" si="35"/>
        <v>2022</v>
      </c>
      <c r="F91" s="177">
        <f t="shared" si="35"/>
        <v>2023</v>
      </c>
      <c r="G91" s="177">
        <f t="shared" si="35"/>
        <v>2024</v>
      </c>
      <c r="H91" s="177">
        <f t="shared" si="35"/>
        <v>2025</v>
      </c>
      <c r="I91" s="177">
        <f t="shared" si="35"/>
        <v>2026</v>
      </c>
      <c r="J91" s="177">
        <f t="shared" si="35"/>
        <v>2027</v>
      </c>
      <c r="K91" s="177">
        <f t="shared" si="35"/>
        <v>2028</v>
      </c>
      <c r="L91" s="177">
        <f t="shared" si="35"/>
        <v>2029</v>
      </c>
      <c r="M91" s="177">
        <f t="shared" si="35"/>
        <v>2030</v>
      </c>
      <c r="N91" s="177">
        <f t="shared" si="35"/>
        <v>2031</v>
      </c>
      <c r="O91" s="177">
        <f t="shared" si="35"/>
        <v>2032</v>
      </c>
      <c r="P91" s="177">
        <f t="shared" si="35"/>
        <v>2033</v>
      </c>
      <c r="Q91" s="177">
        <f t="shared" si="35"/>
        <v>2034</v>
      </c>
      <c r="R91" s="177">
        <f t="shared" si="35"/>
        <v>2035</v>
      </c>
      <c r="S91" s="177">
        <f t="shared" si="35"/>
        <v>2036</v>
      </c>
      <c r="T91" s="177">
        <f t="shared" si="35"/>
        <v>2037</v>
      </c>
      <c r="U91" s="177">
        <f t="shared" si="35"/>
        <v>2038</v>
      </c>
      <c r="V91" s="177">
        <f t="shared" si="35"/>
        <v>2039</v>
      </c>
      <c r="W91" s="177">
        <f t="shared" si="35"/>
        <v>2040</v>
      </c>
      <c r="X91" s="177">
        <f t="shared" si="35"/>
        <v>2041</v>
      </c>
      <c r="Y91" s="177">
        <f t="shared" si="35"/>
        <v>2042</v>
      </c>
      <c r="Z91" s="177">
        <f t="shared" si="35"/>
        <v>2043</v>
      </c>
      <c r="AA91" s="177">
        <f t="shared" si="35"/>
        <v>2044</v>
      </c>
      <c r="AB91" s="177">
        <f t="shared" si="35"/>
        <v>2045</v>
      </c>
      <c r="AC91" s="177">
        <f t="shared" si="35"/>
        <v>2046</v>
      </c>
      <c r="AD91" s="177">
        <f t="shared" si="35"/>
        <v>2047</v>
      </c>
      <c r="AE91" s="177">
        <f t="shared" si="35"/>
        <v>2048</v>
      </c>
      <c r="AF91" s="177">
        <f t="shared" si="35"/>
        <v>2049</v>
      </c>
      <c r="AG91" s="177">
        <f t="shared" si="35"/>
        <v>2050</v>
      </c>
      <c r="AH91" s="177">
        <f t="shared" si="35"/>
        <v>2051</v>
      </c>
      <c r="AI91" s="177">
        <f t="shared" si="35"/>
        <v>2052</v>
      </c>
      <c r="AJ91" s="177">
        <f t="shared" si="35"/>
        <v>2053</v>
      </c>
      <c r="AK91" s="177">
        <f t="shared" si="35"/>
        <v>2054</v>
      </c>
      <c r="AL91" s="177">
        <f t="shared" si="35"/>
        <v>2055</v>
      </c>
      <c r="AM91" s="177">
        <f t="shared" si="35"/>
        <v>2056</v>
      </c>
      <c r="AN91" s="177">
        <f t="shared" si="35"/>
        <v>2057</v>
      </c>
      <c r="AO91" s="177">
        <f t="shared" si="35"/>
        <v>2058</v>
      </c>
      <c r="AP91" s="177">
        <f t="shared" si="35"/>
        <v>2059</v>
      </c>
      <c r="AQ91" s="178"/>
      <c r="AR91" s="178"/>
      <c r="AS91" s="178"/>
    </row>
    <row r="92" spans="1:45" ht="15.6" customHeight="1" x14ac:dyDescent="0.2">
      <c r="A92" s="243" t="s">
        <v>293</v>
      </c>
      <c r="B92" s="123"/>
      <c r="C92" s="123"/>
      <c r="D92" s="123"/>
      <c r="E92" s="123"/>
      <c r="F92" s="123"/>
      <c r="G92" s="123"/>
      <c r="H92" s="123"/>
      <c r="I92" s="123"/>
      <c r="J92" s="123"/>
      <c r="K92" s="123"/>
      <c r="L92" s="244">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292</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291</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290</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289</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53" t="s">
        <v>541</v>
      </c>
      <c r="B97" s="453"/>
      <c r="C97" s="453"/>
      <c r="D97" s="453"/>
      <c r="E97" s="453"/>
      <c r="F97" s="453"/>
      <c r="G97" s="453"/>
      <c r="H97" s="453"/>
      <c r="I97" s="453"/>
      <c r="J97" s="453"/>
      <c r="K97" s="453"/>
      <c r="L97" s="45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542</v>
      </c>
      <c r="B99" s="247">
        <f>B81*B85</f>
        <v>-1145738.1882066713</v>
      </c>
      <c r="C99" s="248">
        <f>C81*C85</f>
        <v>0</v>
      </c>
      <c r="D99" s="248">
        <f t="shared" ref="D99:AP99" si="36">D81*D85</f>
        <v>0</v>
      </c>
      <c r="E99" s="248">
        <f t="shared" si="36"/>
        <v>0</v>
      </c>
      <c r="F99" s="248">
        <f t="shared" si="36"/>
        <v>0</v>
      </c>
      <c r="G99" s="248">
        <f t="shared" si="36"/>
        <v>0</v>
      </c>
      <c r="H99" s="248">
        <f t="shared" si="36"/>
        <v>0</v>
      </c>
      <c r="I99" s="248">
        <f t="shared" si="36"/>
        <v>0</v>
      </c>
      <c r="J99" s="248">
        <f>J81*J85</f>
        <v>0</v>
      </c>
      <c r="K99" s="248">
        <f t="shared" si="36"/>
        <v>0</v>
      </c>
      <c r="L99" s="248">
        <f>L81*L85</f>
        <v>0</v>
      </c>
      <c r="M99" s="248">
        <f t="shared" si="36"/>
        <v>0</v>
      </c>
      <c r="N99" s="248">
        <f t="shared" si="36"/>
        <v>0</v>
      </c>
      <c r="O99" s="248">
        <f t="shared" si="36"/>
        <v>0</v>
      </c>
      <c r="P99" s="248">
        <f t="shared" si="36"/>
        <v>0</v>
      </c>
      <c r="Q99" s="248">
        <f t="shared" si="36"/>
        <v>0</v>
      </c>
      <c r="R99" s="248">
        <f t="shared" si="36"/>
        <v>0</v>
      </c>
      <c r="S99" s="248">
        <f t="shared" si="36"/>
        <v>0</v>
      </c>
      <c r="T99" s="248">
        <f t="shared" si="36"/>
        <v>0</v>
      </c>
      <c r="U99" s="248">
        <f t="shared" si="36"/>
        <v>0</v>
      </c>
      <c r="V99" s="248">
        <f t="shared" si="36"/>
        <v>0</v>
      </c>
      <c r="W99" s="248">
        <f t="shared" si="36"/>
        <v>0</v>
      </c>
      <c r="X99" s="248">
        <f t="shared" si="36"/>
        <v>0</v>
      </c>
      <c r="Y99" s="248">
        <f t="shared" si="36"/>
        <v>0</v>
      </c>
      <c r="Z99" s="248">
        <f t="shared" si="36"/>
        <v>0</v>
      </c>
      <c r="AA99" s="248">
        <f t="shared" si="36"/>
        <v>0</v>
      </c>
      <c r="AB99" s="248">
        <f t="shared" si="36"/>
        <v>0</v>
      </c>
      <c r="AC99" s="248">
        <f t="shared" si="36"/>
        <v>0</v>
      </c>
      <c r="AD99" s="248">
        <f t="shared" si="36"/>
        <v>0</v>
      </c>
      <c r="AE99" s="248">
        <f t="shared" si="36"/>
        <v>0</v>
      </c>
      <c r="AF99" s="248">
        <f t="shared" si="36"/>
        <v>0</v>
      </c>
      <c r="AG99" s="248">
        <f t="shared" si="36"/>
        <v>0</v>
      </c>
      <c r="AH99" s="248">
        <f t="shared" si="36"/>
        <v>0</v>
      </c>
      <c r="AI99" s="248">
        <f t="shared" si="36"/>
        <v>0</v>
      </c>
      <c r="AJ99" s="248">
        <f t="shared" si="36"/>
        <v>0</v>
      </c>
      <c r="AK99" s="248">
        <f t="shared" si="36"/>
        <v>0</v>
      </c>
      <c r="AL99" s="248">
        <f t="shared" si="36"/>
        <v>0</v>
      </c>
      <c r="AM99" s="248">
        <f t="shared" si="36"/>
        <v>0</v>
      </c>
      <c r="AN99" s="248">
        <f t="shared" si="36"/>
        <v>0</v>
      </c>
      <c r="AO99" s="248">
        <f t="shared" si="36"/>
        <v>0</v>
      </c>
      <c r="AP99" s="248">
        <f t="shared" si="36"/>
        <v>0</v>
      </c>
      <c r="AQ99" s="249">
        <f>SUM(B99:AP99)</f>
        <v>-1145738.1882066713</v>
      </c>
      <c r="AR99" s="250"/>
      <c r="AS99" s="250"/>
    </row>
    <row r="100" spans="1:71" s="254" customFormat="1" x14ac:dyDescent="0.2">
      <c r="A100" s="252">
        <f>AQ99</f>
        <v>-1145738.1882066713</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4657078.5548594194</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543</v>
      </c>
      <c r="B102" s="282">
        <f>(A101+-A100)/-A100</f>
        <v>5.0646969812089075</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3" t="s">
        <v>544</v>
      </c>
      <c r="B104" s="283" t="s">
        <v>545</v>
      </c>
      <c r="C104" s="283" t="s">
        <v>546</v>
      </c>
      <c r="D104" s="283" t="s">
        <v>547</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4">
        <f>G30/1000/1000</f>
        <v>3.3577284896307109</v>
      </c>
      <c r="B105" s="285">
        <f>L88</f>
        <v>1.9899552125626832</v>
      </c>
      <c r="C105" s="286">
        <f>G28</f>
        <v>1.7584543091700966</v>
      </c>
      <c r="D105" s="286">
        <f>G29</f>
        <v>1.9139374425499665</v>
      </c>
      <c r="E105" s="259" t="s">
        <v>548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7"/>
      <c r="B107" s="288">
        <v>2016</v>
      </c>
      <c r="C107" s="288">
        <v>2017</v>
      </c>
      <c r="D107" s="289">
        <f t="shared" ref="D107:AP107" si="37">C107+1</f>
        <v>2018</v>
      </c>
      <c r="E107" s="289">
        <f t="shared" si="37"/>
        <v>2019</v>
      </c>
      <c r="F107" s="289">
        <f t="shared" si="37"/>
        <v>2020</v>
      </c>
      <c r="G107" s="289">
        <f t="shared" si="37"/>
        <v>2021</v>
      </c>
      <c r="H107" s="289">
        <f t="shared" si="37"/>
        <v>2022</v>
      </c>
      <c r="I107" s="289">
        <f t="shared" si="37"/>
        <v>2023</v>
      </c>
      <c r="J107" s="289">
        <f t="shared" si="37"/>
        <v>2024</v>
      </c>
      <c r="K107" s="289">
        <f t="shared" si="37"/>
        <v>2025</v>
      </c>
      <c r="L107" s="289">
        <f t="shared" si="37"/>
        <v>2026</v>
      </c>
      <c r="M107" s="289">
        <f t="shared" si="37"/>
        <v>2027</v>
      </c>
      <c r="N107" s="289">
        <f t="shared" si="37"/>
        <v>2028</v>
      </c>
      <c r="O107" s="289">
        <f t="shared" si="37"/>
        <v>2029</v>
      </c>
      <c r="P107" s="289">
        <f t="shared" si="37"/>
        <v>2030</v>
      </c>
      <c r="Q107" s="289">
        <f t="shared" si="37"/>
        <v>2031</v>
      </c>
      <c r="R107" s="289">
        <f t="shared" si="37"/>
        <v>2032</v>
      </c>
      <c r="S107" s="289">
        <f t="shared" si="37"/>
        <v>2033</v>
      </c>
      <c r="T107" s="289">
        <f t="shared" si="37"/>
        <v>2034</v>
      </c>
      <c r="U107" s="289">
        <f t="shared" si="37"/>
        <v>2035</v>
      </c>
      <c r="V107" s="289">
        <f t="shared" si="37"/>
        <v>2036</v>
      </c>
      <c r="W107" s="289">
        <f t="shared" si="37"/>
        <v>2037</v>
      </c>
      <c r="X107" s="289">
        <f t="shared" si="37"/>
        <v>2038</v>
      </c>
      <c r="Y107" s="289">
        <f t="shared" si="37"/>
        <v>2039</v>
      </c>
      <c r="Z107" s="289">
        <f t="shared" si="37"/>
        <v>2040</v>
      </c>
      <c r="AA107" s="289">
        <f t="shared" si="37"/>
        <v>2041</v>
      </c>
      <c r="AB107" s="289">
        <f t="shared" si="37"/>
        <v>2042</v>
      </c>
      <c r="AC107" s="289">
        <f t="shared" si="37"/>
        <v>2043</v>
      </c>
      <c r="AD107" s="289">
        <f t="shared" si="37"/>
        <v>2044</v>
      </c>
      <c r="AE107" s="289">
        <f t="shared" si="37"/>
        <v>2045</v>
      </c>
      <c r="AF107" s="289">
        <f t="shared" si="37"/>
        <v>2046</v>
      </c>
      <c r="AG107" s="289">
        <f t="shared" si="37"/>
        <v>2047</v>
      </c>
      <c r="AH107" s="289">
        <f t="shared" si="37"/>
        <v>2048</v>
      </c>
      <c r="AI107" s="289">
        <f t="shared" si="37"/>
        <v>2049</v>
      </c>
      <c r="AJ107" s="289">
        <f t="shared" si="37"/>
        <v>2050</v>
      </c>
      <c r="AK107" s="289">
        <f t="shared" si="37"/>
        <v>2051</v>
      </c>
      <c r="AL107" s="289">
        <f t="shared" si="37"/>
        <v>2052</v>
      </c>
      <c r="AM107" s="289">
        <f t="shared" si="37"/>
        <v>2053</v>
      </c>
      <c r="AN107" s="289">
        <f t="shared" si="37"/>
        <v>2054</v>
      </c>
      <c r="AO107" s="289">
        <f t="shared" si="37"/>
        <v>2055</v>
      </c>
      <c r="AP107" s="289">
        <f t="shared" si="37"/>
        <v>2056</v>
      </c>
      <c r="AT107" s="254"/>
      <c r="AU107" s="254"/>
      <c r="AV107" s="254"/>
      <c r="AW107" s="254"/>
      <c r="AX107" s="254"/>
      <c r="AY107" s="254"/>
      <c r="AZ107" s="254"/>
      <c r="BA107" s="254"/>
      <c r="BB107" s="254"/>
      <c r="BC107" s="254"/>
      <c r="BD107" s="254"/>
      <c r="BE107" s="254"/>
      <c r="BF107" s="254"/>
      <c r="BG107" s="254"/>
    </row>
    <row r="108" spans="1:71" ht="12.75" x14ac:dyDescent="0.2">
      <c r="A108" s="290" t="s">
        <v>549</v>
      </c>
      <c r="B108" s="291"/>
      <c r="C108" s="291">
        <f>C109*$B$111*$B$112*1000</f>
        <v>443103.96319200011</v>
      </c>
      <c r="D108" s="291">
        <f t="shared" ref="D108:AP108" si="38">D109*$B$111*$B$112*1000</f>
        <v>886207.92638400022</v>
      </c>
      <c r="E108" s="291">
        <f>E109*$B$111*$B$112*1000</f>
        <v>1342739.2824000004</v>
      </c>
      <c r="F108" s="291">
        <f t="shared" si="38"/>
        <v>1342739.2824000004</v>
      </c>
      <c r="G108" s="291">
        <f t="shared" si="38"/>
        <v>1342739.2824000004</v>
      </c>
      <c r="H108" s="291">
        <f t="shared" si="38"/>
        <v>1342739.2824000004</v>
      </c>
      <c r="I108" s="291">
        <f t="shared" si="38"/>
        <v>1342739.2824000004</v>
      </c>
      <c r="J108" s="291">
        <f t="shared" si="38"/>
        <v>1342739.2824000004</v>
      </c>
      <c r="K108" s="291">
        <f t="shared" si="38"/>
        <v>1342739.2824000004</v>
      </c>
      <c r="L108" s="291">
        <f t="shared" si="38"/>
        <v>1342739.2824000004</v>
      </c>
      <c r="M108" s="291">
        <f t="shared" si="38"/>
        <v>1342739.2824000004</v>
      </c>
      <c r="N108" s="291">
        <f t="shared" si="38"/>
        <v>1342739.2824000004</v>
      </c>
      <c r="O108" s="291">
        <f t="shared" si="38"/>
        <v>1342739.2824000004</v>
      </c>
      <c r="P108" s="291">
        <f t="shared" si="38"/>
        <v>1342739.2824000004</v>
      </c>
      <c r="Q108" s="291">
        <f t="shared" si="38"/>
        <v>1342739.2824000004</v>
      </c>
      <c r="R108" s="291">
        <f t="shared" si="38"/>
        <v>1342739.2824000004</v>
      </c>
      <c r="S108" s="291">
        <f t="shared" si="38"/>
        <v>1342739.2824000004</v>
      </c>
      <c r="T108" s="291">
        <f t="shared" si="38"/>
        <v>1342739.2824000004</v>
      </c>
      <c r="U108" s="291">
        <f t="shared" si="38"/>
        <v>1342739.2824000004</v>
      </c>
      <c r="V108" s="291">
        <f t="shared" si="38"/>
        <v>1342739.2824000004</v>
      </c>
      <c r="W108" s="291">
        <f t="shared" si="38"/>
        <v>1342739.2824000004</v>
      </c>
      <c r="X108" s="291">
        <f t="shared" si="38"/>
        <v>1342739.2824000004</v>
      </c>
      <c r="Y108" s="291">
        <f t="shared" si="38"/>
        <v>1342739.2824000004</v>
      </c>
      <c r="Z108" s="291">
        <f t="shared" si="38"/>
        <v>1342739.2824000004</v>
      </c>
      <c r="AA108" s="291">
        <f t="shared" si="38"/>
        <v>1342739.2824000004</v>
      </c>
      <c r="AB108" s="291">
        <f t="shared" si="38"/>
        <v>1342739.2824000004</v>
      </c>
      <c r="AC108" s="291">
        <f t="shared" si="38"/>
        <v>1342739.2824000004</v>
      </c>
      <c r="AD108" s="291">
        <f t="shared" si="38"/>
        <v>1342739.2824000004</v>
      </c>
      <c r="AE108" s="291">
        <f t="shared" si="38"/>
        <v>1342739.2824000004</v>
      </c>
      <c r="AF108" s="291">
        <f t="shared" si="38"/>
        <v>1342739.2824000004</v>
      </c>
      <c r="AG108" s="291">
        <f t="shared" si="38"/>
        <v>1342739.2824000004</v>
      </c>
      <c r="AH108" s="291">
        <f t="shared" si="38"/>
        <v>1342739.2824000004</v>
      </c>
      <c r="AI108" s="291">
        <f t="shared" si="38"/>
        <v>1342739.2824000004</v>
      </c>
      <c r="AJ108" s="291">
        <f t="shared" si="38"/>
        <v>1342739.2824000004</v>
      </c>
      <c r="AK108" s="291">
        <f t="shared" si="38"/>
        <v>1342739.2824000004</v>
      </c>
      <c r="AL108" s="291">
        <f t="shared" si="38"/>
        <v>1342739.2824000004</v>
      </c>
      <c r="AM108" s="291">
        <f t="shared" si="38"/>
        <v>1342739.2824000004</v>
      </c>
      <c r="AN108" s="291">
        <f t="shared" si="38"/>
        <v>1342739.2824000004</v>
      </c>
      <c r="AO108" s="291">
        <f t="shared" si="38"/>
        <v>1342739.2824000004</v>
      </c>
      <c r="AP108" s="291">
        <f t="shared" si="38"/>
        <v>1342739.2824000004</v>
      </c>
      <c r="AT108" s="254"/>
      <c r="AU108" s="254"/>
      <c r="AV108" s="254"/>
      <c r="AW108" s="254"/>
      <c r="AX108" s="254"/>
      <c r="AY108" s="254"/>
      <c r="AZ108" s="254"/>
      <c r="BA108" s="254"/>
      <c r="BB108" s="254"/>
      <c r="BC108" s="254"/>
      <c r="BD108" s="254"/>
      <c r="BE108" s="254"/>
      <c r="BF108" s="254"/>
      <c r="BG108" s="254"/>
    </row>
    <row r="109" spans="1:71" ht="12.75" x14ac:dyDescent="0.2">
      <c r="A109" s="290" t="s">
        <v>550</v>
      </c>
      <c r="B109" s="289"/>
      <c r="C109" s="289">
        <f>B109+$I$120*C113</f>
        <v>7.0587000000000011E-2</v>
      </c>
      <c r="D109" s="289">
        <f>C109+$I$120*D113</f>
        <v>0.14117400000000002</v>
      </c>
      <c r="E109" s="289">
        <f t="shared" ref="E109:AP109" si="39">D109+$I$120*E113</f>
        <v>0.21390000000000003</v>
      </c>
      <c r="F109" s="289">
        <f t="shared" si="39"/>
        <v>0.21390000000000003</v>
      </c>
      <c r="G109" s="289">
        <f t="shared" si="39"/>
        <v>0.21390000000000003</v>
      </c>
      <c r="H109" s="289">
        <f t="shared" si="39"/>
        <v>0.21390000000000003</v>
      </c>
      <c r="I109" s="289">
        <f t="shared" si="39"/>
        <v>0.21390000000000003</v>
      </c>
      <c r="J109" s="289">
        <f t="shared" si="39"/>
        <v>0.21390000000000003</v>
      </c>
      <c r="K109" s="289">
        <f t="shared" si="39"/>
        <v>0.21390000000000003</v>
      </c>
      <c r="L109" s="289">
        <f t="shared" si="39"/>
        <v>0.21390000000000003</v>
      </c>
      <c r="M109" s="289">
        <f t="shared" si="39"/>
        <v>0.21390000000000003</v>
      </c>
      <c r="N109" s="289">
        <f t="shared" si="39"/>
        <v>0.21390000000000003</v>
      </c>
      <c r="O109" s="289">
        <f t="shared" si="39"/>
        <v>0.21390000000000003</v>
      </c>
      <c r="P109" s="289">
        <f t="shared" si="39"/>
        <v>0.21390000000000003</v>
      </c>
      <c r="Q109" s="289">
        <f t="shared" si="39"/>
        <v>0.21390000000000003</v>
      </c>
      <c r="R109" s="289">
        <f t="shared" si="39"/>
        <v>0.21390000000000003</v>
      </c>
      <c r="S109" s="289">
        <f t="shared" si="39"/>
        <v>0.21390000000000003</v>
      </c>
      <c r="T109" s="289">
        <f t="shared" si="39"/>
        <v>0.21390000000000003</v>
      </c>
      <c r="U109" s="289">
        <f t="shared" si="39"/>
        <v>0.21390000000000003</v>
      </c>
      <c r="V109" s="289">
        <f t="shared" si="39"/>
        <v>0.21390000000000003</v>
      </c>
      <c r="W109" s="289">
        <f t="shared" si="39"/>
        <v>0.21390000000000003</v>
      </c>
      <c r="X109" s="289">
        <f t="shared" si="39"/>
        <v>0.21390000000000003</v>
      </c>
      <c r="Y109" s="289">
        <f t="shared" si="39"/>
        <v>0.21390000000000003</v>
      </c>
      <c r="Z109" s="289">
        <f t="shared" si="39"/>
        <v>0.21390000000000003</v>
      </c>
      <c r="AA109" s="289">
        <f t="shared" si="39"/>
        <v>0.21390000000000003</v>
      </c>
      <c r="AB109" s="289">
        <f t="shared" si="39"/>
        <v>0.21390000000000003</v>
      </c>
      <c r="AC109" s="289">
        <f t="shared" si="39"/>
        <v>0.21390000000000003</v>
      </c>
      <c r="AD109" s="289">
        <f t="shared" si="39"/>
        <v>0.21390000000000003</v>
      </c>
      <c r="AE109" s="289">
        <f t="shared" si="39"/>
        <v>0.21390000000000003</v>
      </c>
      <c r="AF109" s="289">
        <f t="shared" si="39"/>
        <v>0.21390000000000003</v>
      </c>
      <c r="AG109" s="289">
        <f t="shared" si="39"/>
        <v>0.21390000000000003</v>
      </c>
      <c r="AH109" s="289">
        <f t="shared" si="39"/>
        <v>0.21390000000000003</v>
      </c>
      <c r="AI109" s="289">
        <f t="shared" si="39"/>
        <v>0.21390000000000003</v>
      </c>
      <c r="AJ109" s="289">
        <f t="shared" si="39"/>
        <v>0.21390000000000003</v>
      </c>
      <c r="AK109" s="289">
        <f t="shared" si="39"/>
        <v>0.21390000000000003</v>
      </c>
      <c r="AL109" s="289">
        <f t="shared" si="39"/>
        <v>0.21390000000000003</v>
      </c>
      <c r="AM109" s="289">
        <f t="shared" si="39"/>
        <v>0.21390000000000003</v>
      </c>
      <c r="AN109" s="289">
        <f t="shared" si="39"/>
        <v>0.21390000000000003</v>
      </c>
      <c r="AO109" s="289">
        <f t="shared" si="39"/>
        <v>0.21390000000000003</v>
      </c>
      <c r="AP109" s="289">
        <f t="shared" si="39"/>
        <v>0.21390000000000003</v>
      </c>
      <c r="AT109" s="254"/>
      <c r="AU109" s="254"/>
      <c r="AV109" s="254"/>
      <c r="AW109" s="254"/>
      <c r="AX109" s="254"/>
      <c r="AY109" s="254"/>
      <c r="AZ109" s="254"/>
      <c r="BA109" s="254"/>
      <c r="BB109" s="254"/>
      <c r="BC109" s="254"/>
      <c r="BD109" s="254"/>
      <c r="BE109" s="254"/>
      <c r="BF109" s="254"/>
      <c r="BG109" s="254"/>
    </row>
    <row r="110" spans="1:71" ht="12.75" x14ac:dyDescent="0.2">
      <c r="A110" s="290" t="s">
        <v>551</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54"/>
      <c r="AU110" s="254"/>
      <c r="AV110" s="254"/>
      <c r="AW110" s="254"/>
      <c r="AX110" s="254"/>
      <c r="AY110" s="254"/>
      <c r="AZ110" s="254"/>
      <c r="BA110" s="254"/>
      <c r="BB110" s="254"/>
      <c r="BC110" s="254"/>
      <c r="BD110" s="254"/>
      <c r="BE110" s="254"/>
      <c r="BF110" s="254"/>
      <c r="BG110" s="254"/>
    </row>
    <row r="111" spans="1:71" ht="12.75" x14ac:dyDescent="0.2">
      <c r="A111" s="290" t="s">
        <v>552</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54"/>
      <c r="AU111" s="254"/>
      <c r="AV111" s="254"/>
      <c r="AW111" s="254"/>
      <c r="AX111" s="254"/>
      <c r="AY111" s="254"/>
      <c r="AZ111" s="254"/>
      <c r="BA111" s="254"/>
      <c r="BB111" s="254"/>
      <c r="BC111" s="254"/>
      <c r="BD111" s="254"/>
      <c r="BE111" s="254"/>
      <c r="BF111" s="254"/>
      <c r="BG111" s="254"/>
    </row>
    <row r="112" spans="1:71" ht="12.75" x14ac:dyDescent="0.2">
      <c r="A112" s="290" t="s">
        <v>553</v>
      </c>
      <c r="B112" s="288">
        <f>$B$131</f>
        <v>1.4332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54"/>
      <c r="AU112" s="254"/>
      <c r="AV112" s="254"/>
      <c r="AW112" s="254"/>
      <c r="AX112" s="254"/>
      <c r="AY112" s="254"/>
      <c r="AZ112" s="254"/>
      <c r="BA112" s="254"/>
      <c r="BB112" s="254"/>
      <c r="BC112" s="254"/>
      <c r="BD112" s="254"/>
      <c r="BE112" s="254"/>
      <c r="BF112" s="254"/>
      <c r="BG112" s="254"/>
    </row>
    <row r="113" spans="1:71" ht="15" x14ac:dyDescent="0.2">
      <c r="A113" s="293" t="s">
        <v>554</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7"/>
      <c r="B116" s="454" t="s">
        <v>555</v>
      </c>
      <c r="C116" s="455"/>
      <c r="D116" s="454" t="s">
        <v>556</v>
      </c>
      <c r="E116" s="455"/>
      <c r="F116" s="287"/>
      <c r="G116" s="287"/>
      <c r="H116" s="287"/>
      <c r="I116" s="287"/>
      <c r="J116" s="287"/>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90" t="s">
        <v>557</v>
      </c>
      <c r="B117" s="296">
        <v>0.4</v>
      </c>
      <c r="C117" s="287" t="s">
        <v>558</v>
      </c>
      <c r="D117" s="296">
        <v>0.63</v>
      </c>
      <c r="E117" s="287" t="s">
        <v>558</v>
      </c>
      <c r="F117" s="287"/>
      <c r="G117" s="287"/>
      <c r="H117" s="287"/>
      <c r="I117" s="287"/>
      <c r="J117" s="287"/>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90" t="s">
        <v>557</v>
      </c>
      <c r="B118" s="287">
        <f>$B$110*B117</f>
        <v>0.37200000000000005</v>
      </c>
      <c r="C118" s="287" t="s">
        <v>126</v>
      </c>
      <c r="D118" s="287">
        <f>$B$110*D117</f>
        <v>0.58590000000000009</v>
      </c>
      <c r="E118" s="287" t="s">
        <v>126</v>
      </c>
      <c r="F118" s="290" t="s">
        <v>559</v>
      </c>
      <c r="G118" s="287">
        <f>D117-B117</f>
        <v>0.22999999999999998</v>
      </c>
      <c r="H118" s="287" t="s">
        <v>558</v>
      </c>
      <c r="I118" s="297">
        <f>$B$110*G118</f>
        <v>0.21390000000000001</v>
      </c>
      <c r="J118" s="287" t="s">
        <v>126</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7"/>
      <c r="B119" s="287"/>
      <c r="C119" s="287"/>
      <c r="D119" s="287"/>
      <c r="E119" s="287"/>
      <c r="F119" s="290" t="s">
        <v>560</v>
      </c>
      <c r="G119" s="287">
        <f>I119/$B$110</f>
        <v>0.32258064516129031</v>
      </c>
      <c r="H119" s="287" t="s">
        <v>558</v>
      </c>
      <c r="I119" s="296">
        <f>'2. паспорт  ТП'!H23</f>
        <v>0.3</v>
      </c>
      <c r="J119" s="287" t="s">
        <v>126</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8"/>
      <c r="B120" s="299"/>
      <c r="C120" s="299"/>
      <c r="D120" s="299"/>
      <c r="E120" s="299"/>
      <c r="F120" s="300" t="s">
        <v>561</v>
      </c>
      <c r="G120" s="297">
        <f>G118</f>
        <v>0.22999999999999998</v>
      </c>
      <c r="H120" s="287" t="s">
        <v>558</v>
      </c>
      <c r="I120" s="292">
        <f>I118</f>
        <v>0.21390000000000001</v>
      </c>
      <c r="J120" s="287" t="s">
        <v>126</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x14ac:dyDescent="0.2">
      <c r="A122" s="301" t="s">
        <v>562</v>
      </c>
      <c r="B122" s="302">
        <f>'6.2. Паспорт фин осв ввод'!W24</f>
        <v>1.5155349599999999</v>
      </c>
      <c r="C122" s="259"/>
      <c r="D122" s="443" t="s">
        <v>339</v>
      </c>
      <c r="E122" s="353" t="s">
        <v>649</v>
      </c>
      <c r="F122" s="354">
        <v>35</v>
      </c>
      <c r="G122" s="444" t="s">
        <v>650</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301" t="s">
        <v>339</v>
      </c>
      <c r="B123" s="303">
        <v>30</v>
      </c>
      <c r="C123" s="259"/>
      <c r="D123" s="443"/>
      <c r="E123" s="353" t="s">
        <v>642</v>
      </c>
      <c r="F123" s="354">
        <v>30</v>
      </c>
      <c r="G123" s="444"/>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301" t="s">
        <v>563</v>
      </c>
      <c r="B124" s="303" t="s">
        <v>531</v>
      </c>
      <c r="C124" s="262" t="s">
        <v>564</v>
      </c>
      <c r="D124" s="443"/>
      <c r="E124" s="353" t="s">
        <v>651</v>
      </c>
      <c r="F124" s="354">
        <v>30</v>
      </c>
      <c r="G124" s="444"/>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x14ac:dyDescent="0.2">
      <c r="A125" s="304"/>
      <c r="B125" s="305"/>
      <c r="C125" s="263"/>
      <c r="D125" s="443"/>
      <c r="E125" s="353" t="s">
        <v>652</v>
      </c>
      <c r="F125" s="354">
        <v>30</v>
      </c>
      <c r="G125" s="44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01" t="s">
        <v>565</v>
      </c>
      <c r="B126" s="306">
        <f>$B$122*1000*1000</f>
        <v>1515534.96</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01" t="s">
        <v>566</v>
      </c>
      <c r="B127" s="307">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01" t="s">
        <v>567</v>
      </c>
      <c r="B129" s="308">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9"/>
      <c r="B130" s="310"/>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55" t="s">
        <v>653</v>
      </c>
      <c r="B131" s="356">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01" t="s">
        <v>568</v>
      </c>
      <c r="C134" s="264" t="s">
        <v>654</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01"/>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1" t="s">
        <v>569</v>
      </c>
      <c r="B136" s="357"/>
      <c r="C136" s="358"/>
      <c r="D136" s="358">
        <v>4.5999999999999999E-2</v>
      </c>
      <c r="E136" s="358">
        <v>4.3999999999999997E-2</v>
      </c>
      <c r="F136" s="358">
        <v>4.2000000000000003E-2</v>
      </c>
      <c r="G136" s="358">
        <f>F136</f>
        <v>4.2000000000000003E-2</v>
      </c>
      <c r="H136" s="358">
        <f>G136</f>
        <v>4.2000000000000003E-2</v>
      </c>
      <c r="I136" s="358">
        <f t="shared" ref="I136:AY136" si="41">H136</f>
        <v>4.2000000000000003E-2</v>
      </c>
      <c r="J136" s="358">
        <f t="shared" si="41"/>
        <v>4.2000000000000003E-2</v>
      </c>
      <c r="K136" s="358">
        <f t="shared" si="41"/>
        <v>4.2000000000000003E-2</v>
      </c>
      <c r="L136" s="358">
        <f t="shared" si="41"/>
        <v>4.2000000000000003E-2</v>
      </c>
      <c r="M136" s="358">
        <f t="shared" si="41"/>
        <v>4.2000000000000003E-2</v>
      </c>
      <c r="N136" s="358">
        <f t="shared" si="41"/>
        <v>4.2000000000000003E-2</v>
      </c>
      <c r="O136" s="358">
        <f t="shared" si="41"/>
        <v>4.2000000000000003E-2</v>
      </c>
      <c r="P136" s="358">
        <f t="shared" si="41"/>
        <v>4.2000000000000003E-2</v>
      </c>
      <c r="Q136" s="358">
        <f t="shared" si="41"/>
        <v>4.2000000000000003E-2</v>
      </c>
      <c r="R136" s="358">
        <f t="shared" si="41"/>
        <v>4.2000000000000003E-2</v>
      </c>
      <c r="S136" s="358">
        <f t="shared" si="41"/>
        <v>4.2000000000000003E-2</v>
      </c>
      <c r="T136" s="358">
        <f t="shared" si="41"/>
        <v>4.2000000000000003E-2</v>
      </c>
      <c r="U136" s="358">
        <f t="shared" si="41"/>
        <v>4.2000000000000003E-2</v>
      </c>
      <c r="V136" s="358">
        <f t="shared" si="41"/>
        <v>4.2000000000000003E-2</v>
      </c>
      <c r="W136" s="358">
        <f t="shared" si="41"/>
        <v>4.2000000000000003E-2</v>
      </c>
      <c r="X136" s="358">
        <f t="shared" si="41"/>
        <v>4.2000000000000003E-2</v>
      </c>
      <c r="Y136" s="358">
        <f t="shared" si="41"/>
        <v>4.2000000000000003E-2</v>
      </c>
      <c r="Z136" s="358">
        <f t="shared" si="41"/>
        <v>4.2000000000000003E-2</v>
      </c>
      <c r="AA136" s="358">
        <f t="shared" si="41"/>
        <v>4.2000000000000003E-2</v>
      </c>
      <c r="AB136" s="358">
        <f t="shared" si="41"/>
        <v>4.2000000000000003E-2</v>
      </c>
      <c r="AC136" s="358">
        <f t="shared" si="41"/>
        <v>4.2000000000000003E-2</v>
      </c>
      <c r="AD136" s="358">
        <f t="shared" si="41"/>
        <v>4.2000000000000003E-2</v>
      </c>
      <c r="AE136" s="358">
        <f t="shared" si="41"/>
        <v>4.2000000000000003E-2</v>
      </c>
      <c r="AF136" s="358">
        <f t="shared" si="41"/>
        <v>4.2000000000000003E-2</v>
      </c>
      <c r="AG136" s="358">
        <f t="shared" si="41"/>
        <v>4.2000000000000003E-2</v>
      </c>
      <c r="AH136" s="358">
        <f t="shared" si="41"/>
        <v>4.2000000000000003E-2</v>
      </c>
      <c r="AI136" s="358">
        <f t="shared" si="41"/>
        <v>4.2000000000000003E-2</v>
      </c>
      <c r="AJ136" s="358">
        <f t="shared" si="41"/>
        <v>4.2000000000000003E-2</v>
      </c>
      <c r="AK136" s="358">
        <f t="shared" si="41"/>
        <v>4.2000000000000003E-2</v>
      </c>
      <c r="AL136" s="358">
        <f t="shared" si="41"/>
        <v>4.2000000000000003E-2</v>
      </c>
      <c r="AM136" s="358">
        <f t="shared" si="41"/>
        <v>4.2000000000000003E-2</v>
      </c>
      <c r="AN136" s="358">
        <f t="shared" si="41"/>
        <v>4.2000000000000003E-2</v>
      </c>
      <c r="AO136" s="358">
        <f t="shared" si="41"/>
        <v>4.2000000000000003E-2</v>
      </c>
      <c r="AP136" s="358">
        <f t="shared" si="41"/>
        <v>4.2000000000000003E-2</v>
      </c>
      <c r="AQ136" s="358">
        <f t="shared" si="41"/>
        <v>4.2000000000000003E-2</v>
      </c>
      <c r="AR136" s="358">
        <f t="shared" si="41"/>
        <v>4.2000000000000003E-2</v>
      </c>
      <c r="AS136" s="358">
        <f t="shared" si="41"/>
        <v>4.2000000000000003E-2</v>
      </c>
      <c r="AT136" s="358">
        <f t="shared" si="41"/>
        <v>4.2000000000000003E-2</v>
      </c>
      <c r="AU136" s="358">
        <f t="shared" si="41"/>
        <v>4.2000000000000003E-2</v>
      </c>
      <c r="AV136" s="358">
        <f t="shared" si="41"/>
        <v>4.2000000000000003E-2</v>
      </c>
      <c r="AW136" s="358">
        <f t="shared" si="41"/>
        <v>4.2000000000000003E-2</v>
      </c>
      <c r="AX136" s="358">
        <f t="shared" si="41"/>
        <v>4.2000000000000003E-2</v>
      </c>
      <c r="AY136" s="358">
        <f t="shared" si="41"/>
        <v>4.2000000000000003E-2</v>
      </c>
    </row>
    <row r="137" spans="1:71" s="218" customFormat="1" ht="15" x14ac:dyDescent="0.2">
      <c r="A137" s="301" t="s">
        <v>570</v>
      </c>
      <c r="B137" s="359"/>
      <c r="C137" s="360">
        <f>(1+B137)*(1+C136)-1</f>
        <v>0</v>
      </c>
      <c r="D137" s="360">
        <f>(1+C137)*(1+D136)-1</f>
        <v>4.6000000000000041E-2</v>
      </c>
      <c r="E137" s="360">
        <f>(1+D137)*(1+E136)-1</f>
        <v>9.2024000000000106E-2</v>
      </c>
      <c r="F137" s="360">
        <f t="shared" ref="F137:AY137" si="42">(1+E137)*(1+F136)-1</f>
        <v>0.13788900800000015</v>
      </c>
      <c r="G137" s="360">
        <f>(1+F137)*(1+G136)-1</f>
        <v>0.18568034633600017</v>
      </c>
      <c r="H137" s="360">
        <f t="shared" si="42"/>
        <v>0.2354789208821122</v>
      </c>
      <c r="I137" s="360">
        <f t="shared" si="42"/>
        <v>0.28736903555916093</v>
      </c>
      <c r="J137" s="360">
        <f t="shared" si="42"/>
        <v>0.34143853505264565</v>
      </c>
      <c r="K137" s="360">
        <f t="shared" si="42"/>
        <v>0.39777895352485682</v>
      </c>
      <c r="L137" s="360">
        <f t="shared" si="42"/>
        <v>0.45648566957290093</v>
      </c>
      <c r="M137" s="360">
        <f t="shared" si="42"/>
        <v>0.51765806769496292</v>
      </c>
      <c r="N137" s="360">
        <f t="shared" si="42"/>
        <v>0.58139970653815132</v>
      </c>
      <c r="O137" s="360">
        <f t="shared" si="42"/>
        <v>0.64781849421275384</v>
      </c>
      <c r="P137" s="360">
        <f t="shared" si="42"/>
        <v>0.71702687096968964</v>
      </c>
      <c r="Q137" s="360">
        <f t="shared" si="42"/>
        <v>0.78914199955041675</v>
      </c>
      <c r="R137" s="360">
        <f t="shared" si="42"/>
        <v>0.86428596353153431</v>
      </c>
      <c r="S137" s="360">
        <f t="shared" si="42"/>
        <v>0.94258597399985877</v>
      </c>
      <c r="T137" s="360">
        <f t="shared" si="42"/>
        <v>1.0241745849078527</v>
      </c>
      <c r="U137" s="360">
        <f t="shared" si="42"/>
        <v>1.1091899174739828</v>
      </c>
      <c r="V137" s="360">
        <f t="shared" si="42"/>
        <v>1.19777589400789</v>
      </c>
      <c r="W137" s="360">
        <f t="shared" si="42"/>
        <v>1.2900824815562215</v>
      </c>
      <c r="X137" s="360">
        <f t="shared" si="42"/>
        <v>1.3862659457815827</v>
      </c>
      <c r="Y137" s="360">
        <f t="shared" si="42"/>
        <v>1.4864891155044093</v>
      </c>
      <c r="Z137" s="360">
        <f t="shared" si="42"/>
        <v>1.5909216583555947</v>
      </c>
      <c r="AA137" s="360">
        <f t="shared" si="42"/>
        <v>1.6997403680065299</v>
      </c>
      <c r="AB137" s="360">
        <f t="shared" si="42"/>
        <v>1.8131294634628041</v>
      </c>
      <c r="AC137" s="360">
        <f t="shared" si="42"/>
        <v>1.9312809009282419</v>
      </c>
      <c r="AD137" s="360">
        <f t="shared" si="42"/>
        <v>2.0543946987672284</v>
      </c>
      <c r="AE137" s="360">
        <f t="shared" si="42"/>
        <v>2.1826792761154521</v>
      </c>
      <c r="AF137" s="360">
        <f t="shared" si="42"/>
        <v>2.3163518057123014</v>
      </c>
      <c r="AG137" s="360">
        <f t="shared" si="42"/>
        <v>2.4556385815522184</v>
      </c>
      <c r="AH137" s="360">
        <f t="shared" si="42"/>
        <v>2.6007754019774119</v>
      </c>
      <c r="AI137" s="360">
        <f t="shared" si="42"/>
        <v>2.7520079688604633</v>
      </c>
      <c r="AJ137" s="360">
        <f t="shared" si="42"/>
        <v>2.909592303552603</v>
      </c>
      <c r="AK137" s="360">
        <f t="shared" si="42"/>
        <v>3.0737951803018122</v>
      </c>
      <c r="AL137" s="360">
        <f t="shared" si="42"/>
        <v>3.2448945778744882</v>
      </c>
      <c r="AM137" s="360">
        <f t="shared" si="42"/>
        <v>3.4231801501452166</v>
      </c>
      <c r="AN137" s="360">
        <f t="shared" si="42"/>
        <v>3.6089537164513157</v>
      </c>
      <c r="AO137" s="360">
        <f t="shared" si="42"/>
        <v>3.8025297725422709</v>
      </c>
      <c r="AP137" s="360">
        <f t="shared" si="42"/>
        <v>4.0042360229890468</v>
      </c>
      <c r="AQ137" s="360">
        <f t="shared" si="42"/>
        <v>4.2144139359545871</v>
      </c>
      <c r="AR137" s="360">
        <f t="shared" si="42"/>
        <v>4.4334193212646804</v>
      </c>
      <c r="AS137" s="360">
        <f t="shared" si="42"/>
        <v>4.6616229327577976</v>
      </c>
      <c r="AT137" s="360">
        <f t="shared" si="42"/>
        <v>4.8994110959336252</v>
      </c>
      <c r="AU137" s="360">
        <f t="shared" si="42"/>
        <v>5.147186361962838</v>
      </c>
      <c r="AV137" s="360">
        <f t="shared" si="42"/>
        <v>5.4053681891652774</v>
      </c>
      <c r="AW137" s="360">
        <f>(1+AV137)*(1+AW136)-1</f>
        <v>5.6743936531102195</v>
      </c>
      <c r="AX137" s="360">
        <f t="shared" si="42"/>
        <v>5.9547181865408492</v>
      </c>
      <c r="AY137" s="360">
        <f t="shared" si="42"/>
        <v>6.2468163503755649</v>
      </c>
    </row>
    <row r="138" spans="1:71" s="218" customFormat="1" x14ac:dyDescent="0.2">
      <c r="A138" s="266"/>
      <c r="B138" s="312"/>
      <c r="C138" s="313"/>
      <c r="D138" s="313"/>
      <c r="E138" s="313"/>
      <c r="F138" s="313"/>
      <c r="G138" s="313"/>
      <c r="H138" s="313"/>
      <c r="I138" s="313"/>
      <c r="J138" s="313"/>
      <c r="K138" s="313"/>
      <c r="L138" s="313"/>
      <c r="M138" s="313"/>
      <c r="N138" s="313"/>
      <c r="O138" s="313"/>
      <c r="P138" s="313"/>
      <c r="Q138" s="313"/>
      <c r="R138" s="313"/>
      <c r="S138" s="313"/>
      <c r="T138" s="313"/>
      <c r="U138" s="313"/>
      <c r="V138" s="313"/>
      <c r="W138" s="313"/>
      <c r="X138" s="313"/>
      <c r="Y138" s="313"/>
      <c r="Z138" s="313"/>
      <c r="AA138" s="313"/>
      <c r="AB138" s="313"/>
      <c r="AC138" s="313"/>
      <c r="AD138" s="313"/>
      <c r="AE138" s="313"/>
      <c r="AF138" s="313"/>
      <c r="AG138" s="313"/>
      <c r="AH138" s="313"/>
      <c r="AI138" s="313"/>
      <c r="AJ138" s="313"/>
      <c r="AK138" s="313"/>
      <c r="AL138" s="313"/>
      <c r="AM138" s="313"/>
      <c r="AN138" s="313"/>
      <c r="AO138" s="313"/>
      <c r="AP138" s="313"/>
      <c r="AQ138" s="178"/>
    </row>
    <row r="139" spans="1:71" ht="12.75" x14ac:dyDescent="0.2">
      <c r="A139" s="261"/>
      <c r="B139" s="357">
        <v>2016</v>
      </c>
      <c r="C139" s="357">
        <f>B139+1</f>
        <v>2017</v>
      </c>
      <c r="D139" s="357">
        <f t="shared" ref="D139:S140" si="43">C139+1</f>
        <v>2018</v>
      </c>
      <c r="E139" s="357">
        <f t="shared" si="43"/>
        <v>2019</v>
      </c>
      <c r="F139" s="357">
        <f t="shared" si="43"/>
        <v>2020</v>
      </c>
      <c r="G139" s="357">
        <f t="shared" si="43"/>
        <v>2021</v>
      </c>
      <c r="H139" s="357">
        <f t="shared" si="43"/>
        <v>2022</v>
      </c>
      <c r="I139" s="357">
        <f t="shared" si="43"/>
        <v>2023</v>
      </c>
      <c r="J139" s="357">
        <f t="shared" si="43"/>
        <v>2024</v>
      </c>
      <c r="K139" s="357">
        <f t="shared" si="43"/>
        <v>2025</v>
      </c>
      <c r="L139" s="357">
        <f t="shared" si="43"/>
        <v>2026</v>
      </c>
      <c r="M139" s="357">
        <f t="shared" si="43"/>
        <v>2027</v>
      </c>
      <c r="N139" s="357">
        <f t="shared" si="43"/>
        <v>2028</v>
      </c>
      <c r="O139" s="357">
        <f t="shared" si="43"/>
        <v>2029</v>
      </c>
      <c r="P139" s="357">
        <f t="shared" si="43"/>
        <v>2030</v>
      </c>
      <c r="Q139" s="357">
        <f t="shared" si="43"/>
        <v>2031</v>
      </c>
      <c r="R139" s="357">
        <f t="shared" si="43"/>
        <v>2032</v>
      </c>
      <c r="S139" s="357">
        <f t="shared" si="43"/>
        <v>2033</v>
      </c>
      <c r="T139" s="357">
        <f t="shared" ref="T139:AI140" si="44">S139+1</f>
        <v>2034</v>
      </c>
      <c r="U139" s="357">
        <f t="shared" si="44"/>
        <v>2035</v>
      </c>
      <c r="V139" s="357">
        <f t="shared" si="44"/>
        <v>2036</v>
      </c>
      <c r="W139" s="357">
        <f t="shared" si="44"/>
        <v>2037</v>
      </c>
      <c r="X139" s="357">
        <f t="shared" si="44"/>
        <v>2038</v>
      </c>
      <c r="Y139" s="357">
        <f t="shared" si="44"/>
        <v>2039</v>
      </c>
      <c r="Z139" s="357">
        <f t="shared" si="44"/>
        <v>2040</v>
      </c>
      <c r="AA139" s="357">
        <f t="shared" si="44"/>
        <v>2041</v>
      </c>
      <c r="AB139" s="357">
        <f t="shared" si="44"/>
        <v>2042</v>
      </c>
      <c r="AC139" s="357">
        <f t="shared" si="44"/>
        <v>2043</v>
      </c>
      <c r="AD139" s="357">
        <f t="shared" si="44"/>
        <v>2044</v>
      </c>
      <c r="AE139" s="357">
        <f t="shared" si="44"/>
        <v>2045</v>
      </c>
      <c r="AF139" s="357">
        <f t="shared" si="44"/>
        <v>2046</v>
      </c>
      <c r="AG139" s="357">
        <f t="shared" si="44"/>
        <v>2047</v>
      </c>
      <c r="AH139" s="357">
        <f t="shared" si="44"/>
        <v>2048</v>
      </c>
      <c r="AI139" s="357">
        <f t="shared" si="44"/>
        <v>2049</v>
      </c>
      <c r="AJ139" s="357">
        <f t="shared" ref="AJ139:AY140" si="45">AI139+1</f>
        <v>2050</v>
      </c>
      <c r="AK139" s="357">
        <f t="shared" si="45"/>
        <v>2051</v>
      </c>
      <c r="AL139" s="357">
        <f t="shared" si="45"/>
        <v>2052</v>
      </c>
      <c r="AM139" s="357">
        <f t="shared" si="45"/>
        <v>2053</v>
      </c>
      <c r="AN139" s="357">
        <f t="shared" si="45"/>
        <v>2054</v>
      </c>
      <c r="AO139" s="357">
        <f t="shared" si="45"/>
        <v>2055</v>
      </c>
      <c r="AP139" s="357">
        <f t="shared" si="45"/>
        <v>2056</v>
      </c>
      <c r="AQ139" s="357">
        <f t="shared" si="45"/>
        <v>2057</v>
      </c>
      <c r="AR139" s="357">
        <f t="shared" si="45"/>
        <v>2058</v>
      </c>
      <c r="AS139" s="357">
        <f t="shared" si="45"/>
        <v>2059</v>
      </c>
      <c r="AT139" s="357">
        <f t="shared" si="45"/>
        <v>2060</v>
      </c>
      <c r="AU139" s="357">
        <f t="shared" si="45"/>
        <v>2061</v>
      </c>
      <c r="AV139" s="357">
        <f t="shared" si="45"/>
        <v>2062</v>
      </c>
      <c r="AW139" s="357">
        <f t="shared" si="45"/>
        <v>2063</v>
      </c>
      <c r="AX139" s="357">
        <f t="shared" si="45"/>
        <v>2064</v>
      </c>
      <c r="AY139" s="357">
        <f t="shared" si="45"/>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61">
        <v>0</v>
      </c>
      <c r="C140" s="361">
        <v>0</v>
      </c>
      <c r="D140" s="361">
        <v>1</v>
      </c>
      <c r="E140" s="361">
        <f>D140+1</f>
        <v>2</v>
      </c>
      <c r="F140" s="361">
        <f t="shared" si="43"/>
        <v>3</v>
      </c>
      <c r="G140" s="361">
        <f t="shared" si="43"/>
        <v>4</v>
      </c>
      <c r="H140" s="361">
        <f t="shared" si="43"/>
        <v>5</v>
      </c>
      <c r="I140" s="361">
        <f t="shared" si="43"/>
        <v>6</v>
      </c>
      <c r="J140" s="361">
        <f t="shared" si="43"/>
        <v>7</v>
      </c>
      <c r="K140" s="361">
        <f t="shared" si="43"/>
        <v>8</v>
      </c>
      <c r="L140" s="361">
        <f t="shared" si="43"/>
        <v>9</v>
      </c>
      <c r="M140" s="361">
        <f t="shared" si="43"/>
        <v>10</v>
      </c>
      <c r="N140" s="361">
        <f t="shared" si="43"/>
        <v>11</v>
      </c>
      <c r="O140" s="361">
        <f t="shared" si="43"/>
        <v>12</v>
      </c>
      <c r="P140" s="361">
        <f t="shared" si="43"/>
        <v>13</v>
      </c>
      <c r="Q140" s="361">
        <f t="shared" si="43"/>
        <v>14</v>
      </c>
      <c r="R140" s="361">
        <f t="shared" si="43"/>
        <v>15</v>
      </c>
      <c r="S140" s="361">
        <f t="shared" si="43"/>
        <v>16</v>
      </c>
      <c r="T140" s="361">
        <f t="shared" si="44"/>
        <v>17</v>
      </c>
      <c r="U140" s="361">
        <f t="shared" si="44"/>
        <v>18</v>
      </c>
      <c r="V140" s="361">
        <f t="shared" si="44"/>
        <v>19</v>
      </c>
      <c r="W140" s="361">
        <f t="shared" si="44"/>
        <v>20</v>
      </c>
      <c r="X140" s="361">
        <f t="shared" si="44"/>
        <v>21</v>
      </c>
      <c r="Y140" s="361">
        <f t="shared" si="44"/>
        <v>22</v>
      </c>
      <c r="Z140" s="361">
        <f t="shared" si="44"/>
        <v>23</v>
      </c>
      <c r="AA140" s="361">
        <f t="shared" si="44"/>
        <v>24</v>
      </c>
      <c r="AB140" s="361">
        <f t="shared" si="44"/>
        <v>25</v>
      </c>
      <c r="AC140" s="361">
        <f t="shared" si="44"/>
        <v>26</v>
      </c>
      <c r="AD140" s="361">
        <f t="shared" si="44"/>
        <v>27</v>
      </c>
      <c r="AE140" s="361">
        <f t="shared" si="44"/>
        <v>28</v>
      </c>
      <c r="AF140" s="361">
        <f t="shared" si="44"/>
        <v>29</v>
      </c>
      <c r="AG140" s="361">
        <f t="shared" si="44"/>
        <v>30</v>
      </c>
      <c r="AH140" s="361">
        <f t="shared" si="44"/>
        <v>31</v>
      </c>
      <c r="AI140" s="361">
        <f t="shared" si="44"/>
        <v>32</v>
      </c>
      <c r="AJ140" s="361">
        <f t="shared" si="45"/>
        <v>33</v>
      </c>
      <c r="AK140" s="361">
        <f t="shared" si="45"/>
        <v>34</v>
      </c>
      <c r="AL140" s="361">
        <f t="shared" si="45"/>
        <v>35</v>
      </c>
      <c r="AM140" s="361">
        <f t="shared" si="45"/>
        <v>36</v>
      </c>
      <c r="AN140" s="361">
        <f t="shared" si="45"/>
        <v>37</v>
      </c>
      <c r="AO140" s="361">
        <f t="shared" si="45"/>
        <v>38</v>
      </c>
      <c r="AP140" s="361">
        <f>AO140+1</f>
        <v>39</v>
      </c>
      <c r="AQ140" s="361">
        <f t="shared" si="45"/>
        <v>40</v>
      </c>
      <c r="AR140" s="361">
        <f t="shared" si="45"/>
        <v>41</v>
      </c>
      <c r="AS140" s="361">
        <f t="shared" si="45"/>
        <v>42</v>
      </c>
      <c r="AT140" s="361">
        <f t="shared" si="45"/>
        <v>43</v>
      </c>
      <c r="AU140" s="361">
        <f t="shared" si="45"/>
        <v>44</v>
      </c>
      <c r="AV140" s="361">
        <f t="shared" si="45"/>
        <v>45</v>
      </c>
      <c r="AW140" s="361">
        <f t="shared" si="45"/>
        <v>46</v>
      </c>
      <c r="AX140" s="361">
        <f t="shared" si="45"/>
        <v>47</v>
      </c>
      <c r="AY140" s="361">
        <f t="shared" si="45"/>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62">
        <f>AVERAGE(A140:B140)</f>
        <v>0</v>
      </c>
      <c r="C141" s="362">
        <f>AVERAGE(B140:C140)</f>
        <v>0</v>
      </c>
      <c r="D141" s="362">
        <f>AVERAGE(C140:D140)</f>
        <v>0.5</v>
      </c>
      <c r="E141" s="362">
        <f>AVERAGE(D140:E140)</f>
        <v>1.5</v>
      </c>
      <c r="F141" s="362">
        <f t="shared" ref="F141:AO141" si="46">AVERAGE(E140:F140)</f>
        <v>2.5</v>
      </c>
      <c r="G141" s="362">
        <f t="shared" si="46"/>
        <v>3.5</v>
      </c>
      <c r="H141" s="362">
        <f t="shared" si="46"/>
        <v>4.5</v>
      </c>
      <c r="I141" s="362">
        <f t="shared" si="46"/>
        <v>5.5</v>
      </c>
      <c r="J141" s="362">
        <f t="shared" si="46"/>
        <v>6.5</v>
      </c>
      <c r="K141" s="362">
        <f t="shared" si="46"/>
        <v>7.5</v>
      </c>
      <c r="L141" s="362">
        <f t="shared" si="46"/>
        <v>8.5</v>
      </c>
      <c r="M141" s="362">
        <f t="shared" si="46"/>
        <v>9.5</v>
      </c>
      <c r="N141" s="362">
        <f t="shared" si="46"/>
        <v>10.5</v>
      </c>
      <c r="O141" s="362">
        <f t="shared" si="46"/>
        <v>11.5</v>
      </c>
      <c r="P141" s="362">
        <f t="shared" si="46"/>
        <v>12.5</v>
      </c>
      <c r="Q141" s="362">
        <f t="shared" si="46"/>
        <v>13.5</v>
      </c>
      <c r="R141" s="362">
        <f t="shared" si="46"/>
        <v>14.5</v>
      </c>
      <c r="S141" s="362">
        <f t="shared" si="46"/>
        <v>15.5</v>
      </c>
      <c r="T141" s="362">
        <f t="shared" si="46"/>
        <v>16.5</v>
      </c>
      <c r="U141" s="362">
        <f t="shared" si="46"/>
        <v>17.5</v>
      </c>
      <c r="V141" s="362">
        <f t="shared" si="46"/>
        <v>18.5</v>
      </c>
      <c r="W141" s="362">
        <f t="shared" si="46"/>
        <v>19.5</v>
      </c>
      <c r="X141" s="362">
        <f t="shared" si="46"/>
        <v>20.5</v>
      </c>
      <c r="Y141" s="362">
        <f t="shared" si="46"/>
        <v>21.5</v>
      </c>
      <c r="Z141" s="362">
        <f t="shared" si="46"/>
        <v>22.5</v>
      </c>
      <c r="AA141" s="362">
        <f t="shared" si="46"/>
        <v>23.5</v>
      </c>
      <c r="AB141" s="362">
        <f t="shared" si="46"/>
        <v>24.5</v>
      </c>
      <c r="AC141" s="362">
        <f t="shared" si="46"/>
        <v>25.5</v>
      </c>
      <c r="AD141" s="362">
        <f t="shared" si="46"/>
        <v>26.5</v>
      </c>
      <c r="AE141" s="362">
        <f t="shared" si="46"/>
        <v>27.5</v>
      </c>
      <c r="AF141" s="362">
        <f t="shared" si="46"/>
        <v>28.5</v>
      </c>
      <c r="AG141" s="362">
        <f t="shared" si="46"/>
        <v>29.5</v>
      </c>
      <c r="AH141" s="362">
        <f t="shared" si="46"/>
        <v>30.5</v>
      </c>
      <c r="AI141" s="362">
        <f t="shared" si="46"/>
        <v>31.5</v>
      </c>
      <c r="AJ141" s="362">
        <f t="shared" si="46"/>
        <v>32.5</v>
      </c>
      <c r="AK141" s="362">
        <f t="shared" si="46"/>
        <v>33.5</v>
      </c>
      <c r="AL141" s="362">
        <f t="shared" si="46"/>
        <v>34.5</v>
      </c>
      <c r="AM141" s="362">
        <f t="shared" si="46"/>
        <v>35.5</v>
      </c>
      <c r="AN141" s="362">
        <f t="shared" si="46"/>
        <v>36.5</v>
      </c>
      <c r="AO141" s="362">
        <f t="shared" si="46"/>
        <v>37.5</v>
      </c>
      <c r="AP141" s="362">
        <f>AVERAGE(AO140:AP140)</f>
        <v>38.5</v>
      </c>
      <c r="AQ141" s="362">
        <f t="shared" ref="AQ141:AY141" si="47">AVERAGE(AP140:AQ140)</f>
        <v>39.5</v>
      </c>
      <c r="AR141" s="362">
        <f t="shared" si="47"/>
        <v>40.5</v>
      </c>
      <c r="AS141" s="362">
        <f t="shared" si="47"/>
        <v>41.5</v>
      </c>
      <c r="AT141" s="362">
        <f t="shared" si="47"/>
        <v>42.5</v>
      </c>
      <c r="AU141" s="362">
        <f t="shared" si="47"/>
        <v>43.5</v>
      </c>
      <c r="AV141" s="362">
        <f t="shared" si="47"/>
        <v>44.5</v>
      </c>
      <c r="AW141" s="362">
        <f t="shared" si="47"/>
        <v>45.5</v>
      </c>
      <c r="AX141" s="362">
        <f t="shared" si="47"/>
        <v>46.5</v>
      </c>
      <c r="AY141" s="362">
        <f t="shared" si="47"/>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J44" sqref="J44"/>
    </sheetView>
  </sheetViews>
  <sheetFormatPr defaultRowHeight="15.75" x14ac:dyDescent="0.25"/>
  <cols>
    <col min="1" max="1" width="9.140625" style="65"/>
    <col min="2" max="2" width="37.7109375" style="65" customWidth="1"/>
    <col min="3" max="6" width="16.5703125" style="65" customWidth="1"/>
    <col min="7" max="8" width="16.57031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0" t="s">
        <v>66</v>
      </c>
    </row>
    <row r="2" spans="1:44" ht="18.75" x14ac:dyDescent="0.3">
      <c r="L2" s="14" t="s">
        <v>8</v>
      </c>
    </row>
    <row r="3" spans="1:44" ht="18.75" x14ac:dyDescent="0.3">
      <c r="L3" s="14" t="s">
        <v>65</v>
      </c>
    </row>
    <row r="4" spans="1:44" ht="18.75" x14ac:dyDescent="0.3">
      <c r="K4" s="14"/>
    </row>
    <row r="5" spans="1:44" x14ac:dyDescent="0.25">
      <c r="A5" s="390" t="str">
        <f>'2. паспорт  ТП'!A4:S4</f>
        <v>Год раскрытия информации: 2022 год</v>
      </c>
      <c r="B5" s="390"/>
      <c r="C5" s="390"/>
      <c r="D5" s="390"/>
      <c r="E5" s="390"/>
      <c r="F5" s="390"/>
      <c r="G5" s="390"/>
      <c r="H5" s="390"/>
      <c r="I5" s="390"/>
      <c r="J5" s="390"/>
      <c r="K5" s="390"/>
      <c r="L5" s="390"/>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4"/>
    </row>
    <row r="7" spans="1:44" ht="18.75" x14ac:dyDescent="0.25">
      <c r="A7" s="394" t="s">
        <v>7</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row>
    <row r="10" spans="1:44" x14ac:dyDescent="0.25">
      <c r="A10" s="391" t="s">
        <v>6</v>
      </c>
      <c r="B10" s="391"/>
      <c r="C10" s="391"/>
      <c r="D10" s="391"/>
      <c r="E10" s="391"/>
      <c r="F10" s="391"/>
      <c r="G10" s="391"/>
      <c r="H10" s="391"/>
      <c r="I10" s="391"/>
      <c r="J10" s="391"/>
      <c r="K10" s="391"/>
      <c r="L10" s="391"/>
    </row>
    <row r="11" spans="1:44" ht="18.75" x14ac:dyDescent="0.25">
      <c r="A11" s="394"/>
      <c r="B11" s="394"/>
      <c r="C11" s="394"/>
      <c r="D11" s="394"/>
      <c r="E11" s="394"/>
      <c r="F11" s="394"/>
      <c r="G11" s="394"/>
      <c r="H11" s="394"/>
      <c r="I11" s="394"/>
      <c r="J11" s="394"/>
      <c r="K11" s="394"/>
      <c r="L11" s="394"/>
    </row>
    <row r="12" spans="1:44" x14ac:dyDescent="0.25">
      <c r="A12" s="397" t="str">
        <f>'1. паспорт местоположение'!A12:C12</f>
        <v>J_18-1157</v>
      </c>
      <c r="B12" s="397"/>
      <c r="C12" s="397"/>
      <c r="D12" s="397"/>
      <c r="E12" s="397"/>
      <c r="F12" s="397"/>
      <c r="G12" s="397"/>
      <c r="H12" s="397"/>
      <c r="I12" s="397"/>
      <c r="J12" s="397"/>
      <c r="K12" s="397"/>
      <c r="L12" s="397"/>
    </row>
    <row r="13" spans="1:44" x14ac:dyDescent="0.25">
      <c r="A13" s="391" t="s">
        <v>5</v>
      </c>
      <c r="B13" s="391"/>
      <c r="C13" s="391"/>
      <c r="D13" s="391"/>
      <c r="E13" s="391"/>
      <c r="F13" s="391"/>
      <c r="G13" s="391"/>
      <c r="H13" s="391"/>
      <c r="I13" s="391"/>
      <c r="J13" s="391"/>
      <c r="K13" s="391"/>
      <c r="L13" s="391"/>
    </row>
    <row r="14" spans="1:44" ht="18.75" x14ac:dyDescent="0.25">
      <c r="A14" s="401"/>
      <c r="B14" s="401"/>
      <c r="C14" s="401"/>
      <c r="D14" s="401"/>
      <c r="E14" s="401"/>
      <c r="F14" s="401"/>
      <c r="G14" s="401"/>
      <c r="H14" s="401"/>
      <c r="I14" s="401"/>
      <c r="J14" s="401"/>
      <c r="K14" s="401"/>
      <c r="L14" s="401"/>
    </row>
    <row r="15" spans="1:44" x14ac:dyDescent="0.25">
      <c r="A15" s="397" t="str">
        <f>'1. паспорт местоположение'!A15</f>
        <v>Реконструкция ТП 66 (инв. № 5351233), строительство ЛЭП 0,4 кВ от ТП 66, с установкой СП Нового по ул. Садовой в г. Черняховске</v>
      </c>
      <c r="B15" s="397"/>
      <c r="C15" s="397"/>
      <c r="D15" s="397"/>
      <c r="E15" s="397"/>
      <c r="F15" s="397"/>
      <c r="G15" s="397"/>
      <c r="H15" s="397"/>
      <c r="I15" s="397"/>
      <c r="J15" s="397"/>
      <c r="K15" s="397"/>
      <c r="L15" s="397"/>
    </row>
    <row r="16" spans="1:44" x14ac:dyDescent="0.25">
      <c r="A16" s="391" t="s">
        <v>4</v>
      </c>
      <c r="B16" s="391"/>
      <c r="C16" s="391"/>
      <c r="D16" s="391"/>
      <c r="E16" s="391"/>
      <c r="F16" s="391"/>
      <c r="G16" s="391"/>
      <c r="H16" s="391"/>
      <c r="I16" s="391"/>
      <c r="J16" s="391"/>
      <c r="K16" s="391"/>
      <c r="L16" s="391"/>
    </row>
    <row r="17" spans="1:12" ht="15.75" customHeight="1" x14ac:dyDescent="0.25">
      <c r="L17" s="101"/>
    </row>
    <row r="18" spans="1:12" x14ac:dyDescent="0.25">
      <c r="K18" s="100"/>
    </row>
    <row r="19" spans="1:12" ht="15.75" customHeight="1" x14ac:dyDescent="0.25">
      <c r="A19" s="459" t="s">
        <v>494</v>
      </c>
      <c r="B19" s="459"/>
      <c r="C19" s="459"/>
      <c r="D19" s="459"/>
      <c r="E19" s="459"/>
      <c r="F19" s="459"/>
      <c r="G19" s="459"/>
      <c r="H19" s="459"/>
      <c r="I19" s="459"/>
      <c r="J19" s="459"/>
      <c r="K19" s="459"/>
      <c r="L19" s="459"/>
    </row>
    <row r="20" spans="1:12" x14ac:dyDescent="0.25">
      <c r="A20" s="69"/>
      <c r="B20" s="69"/>
      <c r="C20" s="99"/>
      <c r="D20" s="99"/>
      <c r="E20" s="99"/>
      <c r="F20" s="99"/>
      <c r="G20" s="99"/>
      <c r="H20" s="99"/>
      <c r="I20" s="99"/>
      <c r="J20" s="99"/>
      <c r="K20" s="99"/>
      <c r="L20" s="99"/>
    </row>
    <row r="21" spans="1:12" ht="28.5" customHeight="1" x14ac:dyDescent="0.25">
      <c r="A21" s="460" t="s">
        <v>217</v>
      </c>
      <c r="B21" s="460" t="s">
        <v>216</v>
      </c>
      <c r="C21" s="466" t="s">
        <v>426</v>
      </c>
      <c r="D21" s="466"/>
      <c r="E21" s="466"/>
      <c r="F21" s="466"/>
      <c r="G21" s="466"/>
      <c r="H21" s="466"/>
      <c r="I21" s="461" t="s">
        <v>215</v>
      </c>
      <c r="J21" s="463" t="s">
        <v>428</v>
      </c>
      <c r="K21" s="460" t="s">
        <v>214</v>
      </c>
      <c r="L21" s="462" t="s">
        <v>427</v>
      </c>
    </row>
    <row r="22" spans="1:12" ht="58.5" customHeight="1" x14ac:dyDescent="0.25">
      <c r="A22" s="460"/>
      <c r="B22" s="460"/>
      <c r="C22" s="467" t="s">
        <v>2</v>
      </c>
      <c r="D22" s="467"/>
      <c r="E22" s="468" t="s">
        <v>9</v>
      </c>
      <c r="F22" s="469"/>
      <c r="G22" s="468" t="s">
        <v>648</v>
      </c>
      <c r="H22" s="469"/>
      <c r="I22" s="461"/>
      <c r="J22" s="464"/>
      <c r="K22" s="460"/>
      <c r="L22" s="462"/>
    </row>
    <row r="23" spans="1:12" ht="31.5" x14ac:dyDescent="0.25">
      <c r="A23" s="460"/>
      <c r="B23" s="460"/>
      <c r="C23" s="98" t="s">
        <v>213</v>
      </c>
      <c r="D23" s="98" t="s">
        <v>212</v>
      </c>
      <c r="E23" s="98" t="s">
        <v>213</v>
      </c>
      <c r="F23" s="98" t="s">
        <v>212</v>
      </c>
      <c r="G23" s="98" t="s">
        <v>213</v>
      </c>
      <c r="H23" s="98" t="s">
        <v>212</v>
      </c>
      <c r="I23" s="461"/>
      <c r="J23" s="465"/>
      <c r="K23" s="460"/>
      <c r="L23" s="462"/>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211</v>
      </c>
      <c r="C25" s="344"/>
      <c r="D25" s="345"/>
      <c r="E25" s="96"/>
      <c r="F25" s="96"/>
      <c r="G25" s="96"/>
      <c r="H25" s="96"/>
      <c r="I25" s="96"/>
      <c r="J25" s="96"/>
      <c r="K25" s="90"/>
      <c r="L25" s="110"/>
    </row>
    <row r="26" spans="1:12" ht="21.75" customHeight="1" x14ac:dyDescent="0.25">
      <c r="A26" s="93" t="s">
        <v>210</v>
      </c>
      <c r="B26" s="97" t="s">
        <v>433</v>
      </c>
      <c r="C26" s="91" t="s">
        <v>641</v>
      </c>
      <c r="D26" s="345" t="s">
        <v>641</v>
      </c>
      <c r="E26" s="347">
        <v>43423</v>
      </c>
      <c r="F26" s="347">
        <v>43423</v>
      </c>
      <c r="G26" s="345"/>
      <c r="H26" s="345"/>
      <c r="I26" s="345">
        <v>100</v>
      </c>
      <c r="J26" s="345"/>
      <c r="K26" s="90"/>
      <c r="L26" s="90"/>
    </row>
    <row r="27" spans="1:12" s="72" customFormat="1" ht="39" customHeight="1" x14ac:dyDescent="0.25">
      <c r="A27" s="93" t="s">
        <v>209</v>
      </c>
      <c r="B27" s="97" t="s">
        <v>435</v>
      </c>
      <c r="C27" s="91" t="s">
        <v>641</v>
      </c>
      <c r="D27" s="345" t="s">
        <v>641</v>
      </c>
      <c r="E27" s="345" t="s">
        <v>530</v>
      </c>
      <c r="F27" s="345" t="s">
        <v>530</v>
      </c>
      <c r="G27" s="345" t="s">
        <v>530</v>
      </c>
      <c r="H27" s="345" t="s">
        <v>530</v>
      </c>
      <c r="I27" s="345"/>
      <c r="J27" s="345"/>
      <c r="K27" s="90"/>
      <c r="L27" s="90"/>
    </row>
    <row r="28" spans="1:12" s="72" customFormat="1" ht="70.5" customHeight="1" x14ac:dyDescent="0.25">
      <c r="A28" s="93" t="s">
        <v>434</v>
      </c>
      <c r="B28" s="97" t="s">
        <v>439</v>
      </c>
      <c r="C28" s="91" t="s">
        <v>641</v>
      </c>
      <c r="D28" s="345" t="s">
        <v>641</v>
      </c>
      <c r="E28" s="345" t="s">
        <v>530</v>
      </c>
      <c r="F28" s="345" t="s">
        <v>530</v>
      </c>
      <c r="G28" s="345" t="s">
        <v>530</v>
      </c>
      <c r="H28" s="345" t="s">
        <v>530</v>
      </c>
      <c r="I28" s="345"/>
      <c r="J28" s="345"/>
      <c r="K28" s="90"/>
      <c r="L28" s="90"/>
    </row>
    <row r="29" spans="1:12" s="72" customFormat="1" ht="54" customHeight="1" x14ac:dyDescent="0.25">
      <c r="A29" s="93" t="s">
        <v>208</v>
      </c>
      <c r="B29" s="97" t="s">
        <v>438</v>
      </c>
      <c r="C29" s="91" t="s">
        <v>641</v>
      </c>
      <c r="D29" s="345" t="s">
        <v>641</v>
      </c>
      <c r="E29" s="345" t="s">
        <v>530</v>
      </c>
      <c r="F29" s="345" t="s">
        <v>530</v>
      </c>
      <c r="G29" s="345" t="s">
        <v>530</v>
      </c>
      <c r="H29" s="345" t="s">
        <v>530</v>
      </c>
      <c r="I29" s="345"/>
      <c r="J29" s="345"/>
      <c r="K29" s="90"/>
      <c r="L29" s="90"/>
    </row>
    <row r="30" spans="1:12" s="72" customFormat="1" ht="42" customHeight="1" x14ac:dyDescent="0.25">
      <c r="A30" s="93" t="s">
        <v>207</v>
      </c>
      <c r="B30" s="97" t="s">
        <v>440</v>
      </c>
      <c r="C30" s="91" t="s">
        <v>641</v>
      </c>
      <c r="D30" s="345" t="s">
        <v>641</v>
      </c>
      <c r="E30" s="345" t="s">
        <v>530</v>
      </c>
      <c r="F30" s="345" t="s">
        <v>530</v>
      </c>
      <c r="G30" s="345" t="s">
        <v>530</v>
      </c>
      <c r="H30" s="345" t="s">
        <v>530</v>
      </c>
      <c r="I30" s="345"/>
      <c r="J30" s="345"/>
      <c r="K30" s="90"/>
      <c r="L30" s="90"/>
    </row>
    <row r="31" spans="1:12" s="72" customFormat="1" ht="37.5" customHeight="1" x14ac:dyDescent="0.25">
      <c r="A31" s="93" t="s">
        <v>206</v>
      </c>
      <c r="B31" s="92" t="s">
        <v>436</v>
      </c>
      <c r="C31" s="91" t="s">
        <v>641</v>
      </c>
      <c r="D31" s="345" t="s">
        <v>641</v>
      </c>
      <c r="E31" s="347">
        <v>43614</v>
      </c>
      <c r="F31" s="347">
        <v>43614</v>
      </c>
      <c r="G31" s="345"/>
      <c r="H31" s="345"/>
      <c r="I31" s="345">
        <v>100</v>
      </c>
      <c r="J31" s="345"/>
      <c r="K31" s="90"/>
      <c r="L31" s="90"/>
    </row>
    <row r="32" spans="1:12" s="72" customFormat="1" ht="31.5" x14ac:dyDescent="0.25">
      <c r="A32" s="93" t="s">
        <v>204</v>
      </c>
      <c r="B32" s="92" t="s">
        <v>441</v>
      </c>
      <c r="C32" s="91" t="s">
        <v>641</v>
      </c>
      <c r="D32" s="345" t="s">
        <v>641</v>
      </c>
      <c r="E32" s="347">
        <v>43867</v>
      </c>
      <c r="F32" s="347">
        <v>43867</v>
      </c>
      <c r="G32" s="345"/>
      <c r="H32" s="345"/>
      <c r="I32" s="345">
        <v>100</v>
      </c>
      <c r="J32" s="345"/>
      <c r="K32" s="90"/>
      <c r="L32" s="90"/>
    </row>
    <row r="33" spans="1:12" s="72" customFormat="1" ht="37.5" customHeight="1" x14ac:dyDescent="0.25">
      <c r="A33" s="93" t="s">
        <v>452</v>
      </c>
      <c r="B33" s="92" t="s">
        <v>368</v>
      </c>
      <c r="C33" s="91" t="s">
        <v>641</v>
      </c>
      <c r="D33" s="345" t="s">
        <v>641</v>
      </c>
      <c r="E33" s="345" t="s">
        <v>530</v>
      </c>
      <c r="F33" s="345" t="s">
        <v>530</v>
      </c>
      <c r="G33" s="345"/>
      <c r="H33" s="345"/>
      <c r="I33" s="345"/>
      <c r="J33" s="345"/>
      <c r="K33" s="90"/>
      <c r="L33" s="90"/>
    </row>
    <row r="34" spans="1:12" s="72" customFormat="1" ht="47.25" customHeight="1" x14ac:dyDescent="0.25">
      <c r="A34" s="93" t="s">
        <v>453</v>
      </c>
      <c r="B34" s="92" t="s">
        <v>445</v>
      </c>
      <c r="C34" s="91" t="s">
        <v>641</v>
      </c>
      <c r="D34" s="345" t="s">
        <v>641</v>
      </c>
      <c r="E34" s="345" t="s">
        <v>530</v>
      </c>
      <c r="F34" s="345" t="s">
        <v>530</v>
      </c>
      <c r="G34" s="345"/>
      <c r="H34" s="345"/>
      <c r="I34" s="345"/>
      <c r="J34" s="345"/>
      <c r="K34" s="95"/>
      <c r="L34" s="90"/>
    </row>
    <row r="35" spans="1:12" s="72" customFormat="1" ht="49.5" customHeight="1" x14ac:dyDescent="0.25">
      <c r="A35" s="93" t="s">
        <v>454</v>
      </c>
      <c r="B35" s="92" t="s">
        <v>205</v>
      </c>
      <c r="C35" s="91" t="s">
        <v>641</v>
      </c>
      <c r="D35" s="345" t="s">
        <v>641</v>
      </c>
      <c r="E35" s="347">
        <v>43867</v>
      </c>
      <c r="F35" s="347">
        <v>43867</v>
      </c>
      <c r="G35" s="345"/>
      <c r="H35" s="345"/>
      <c r="I35" s="345">
        <v>100</v>
      </c>
      <c r="J35" s="345"/>
      <c r="K35" s="95"/>
      <c r="L35" s="90"/>
    </row>
    <row r="36" spans="1:12" ht="37.5" customHeight="1" x14ac:dyDescent="0.25">
      <c r="A36" s="93" t="s">
        <v>455</v>
      </c>
      <c r="B36" s="92" t="s">
        <v>437</v>
      </c>
      <c r="C36" s="91" t="s">
        <v>641</v>
      </c>
      <c r="D36" s="346" t="s">
        <v>641</v>
      </c>
      <c r="E36" s="345" t="s">
        <v>530</v>
      </c>
      <c r="F36" s="345" t="s">
        <v>530</v>
      </c>
      <c r="G36" s="348"/>
      <c r="H36" s="348"/>
      <c r="I36" s="349"/>
      <c r="J36" s="349"/>
      <c r="K36" s="90"/>
      <c r="L36" s="90"/>
    </row>
    <row r="37" spans="1:12" x14ac:dyDescent="0.25">
      <c r="A37" s="93" t="s">
        <v>456</v>
      </c>
      <c r="B37" s="92" t="s">
        <v>203</v>
      </c>
      <c r="C37" s="91" t="s">
        <v>641</v>
      </c>
      <c r="D37" s="346" t="s">
        <v>641</v>
      </c>
      <c r="E37" s="347">
        <v>43867</v>
      </c>
      <c r="F37" s="347">
        <v>43867</v>
      </c>
      <c r="G37" s="345"/>
      <c r="H37" s="345"/>
      <c r="I37" s="345">
        <v>100</v>
      </c>
      <c r="J37" s="345"/>
      <c r="K37" s="90"/>
      <c r="L37" s="90"/>
    </row>
    <row r="38" spans="1:12" x14ac:dyDescent="0.25">
      <c r="A38" s="93" t="s">
        <v>457</v>
      </c>
      <c r="B38" s="94" t="s">
        <v>202</v>
      </c>
      <c r="C38" s="91" t="s">
        <v>641</v>
      </c>
      <c r="D38" s="346" t="s">
        <v>641</v>
      </c>
      <c r="E38" s="346"/>
      <c r="F38" s="346"/>
      <c r="G38" s="346"/>
      <c r="H38" s="346"/>
      <c r="I38" s="346"/>
      <c r="J38" s="346"/>
      <c r="K38" s="90"/>
      <c r="L38" s="90"/>
    </row>
    <row r="39" spans="1:12" ht="63" x14ac:dyDescent="0.25">
      <c r="A39" s="93">
        <v>2</v>
      </c>
      <c r="B39" s="92" t="s">
        <v>442</v>
      </c>
      <c r="C39" s="91" t="s">
        <v>641</v>
      </c>
      <c r="D39" s="346" t="s">
        <v>641</v>
      </c>
      <c r="E39" s="368">
        <v>43979</v>
      </c>
      <c r="F39" s="368">
        <v>43979</v>
      </c>
      <c r="G39" s="346"/>
      <c r="H39" s="346"/>
      <c r="I39" s="345">
        <v>100</v>
      </c>
      <c r="J39" s="345"/>
      <c r="K39" s="90"/>
      <c r="L39" s="90"/>
    </row>
    <row r="40" spans="1:12" ht="33.75" customHeight="1" x14ac:dyDescent="0.25">
      <c r="A40" s="93" t="s">
        <v>201</v>
      </c>
      <c r="B40" s="92" t="s">
        <v>444</v>
      </c>
      <c r="C40" s="91" t="s">
        <v>641</v>
      </c>
      <c r="D40" s="346" t="s">
        <v>641</v>
      </c>
      <c r="E40" s="345" t="s">
        <v>530</v>
      </c>
      <c r="F40" s="345" t="s">
        <v>530</v>
      </c>
      <c r="G40" s="346"/>
      <c r="H40" s="346"/>
      <c r="I40" s="345"/>
      <c r="J40" s="346"/>
      <c r="K40" s="90"/>
      <c r="L40" s="90"/>
    </row>
    <row r="41" spans="1:12" ht="63" customHeight="1" x14ac:dyDescent="0.25">
      <c r="A41" s="93" t="s">
        <v>200</v>
      </c>
      <c r="B41" s="94" t="s">
        <v>525</v>
      </c>
      <c r="C41" s="91" t="s">
        <v>641</v>
      </c>
      <c r="D41" s="346" t="s">
        <v>641</v>
      </c>
      <c r="E41" s="346"/>
      <c r="F41" s="346"/>
      <c r="G41" s="346"/>
      <c r="H41" s="346"/>
      <c r="I41" s="346"/>
      <c r="J41" s="346"/>
      <c r="K41" s="90"/>
      <c r="L41" s="90"/>
    </row>
    <row r="42" spans="1:12" ht="58.5" customHeight="1" x14ac:dyDescent="0.25">
      <c r="A42" s="93">
        <v>3</v>
      </c>
      <c r="B42" s="92" t="s">
        <v>443</v>
      </c>
      <c r="C42" s="91" t="s">
        <v>641</v>
      </c>
      <c r="D42" s="346" t="s">
        <v>641</v>
      </c>
      <c r="E42" s="345" t="s">
        <v>530</v>
      </c>
      <c r="F42" s="345" t="s">
        <v>530</v>
      </c>
      <c r="G42" s="346"/>
      <c r="H42" s="346"/>
      <c r="I42" s="345"/>
      <c r="J42" s="346"/>
      <c r="K42" s="90"/>
      <c r="L42" s="90"/>
    </row>
    <row r="43" spans="1:12" ht="34.5" customHeight="1" x14ac:dyDescent="0.25">
      <c r="A43" s="93" t="s">
        <v>199</v>
      </c>
      <c r="B43" s="92" t="s">
        <v>197</v>
      </c>
      <c r="C43" s="91" t="s">
        <v>641</v>
      </c>
      <c r="D43" s="346" t="s">
        <v>641</v>
      </c>
      <c r="E43" s="345" t="s">
        <v>530</v>
      </c>
      <c r="F43" s="345" t="s">
        <v>530</v>
      </c>
      <c r="G43" s="346"/>
      <c r="H43" s="346"/>
      <c r="I43" s="345"/>
      <c r="J43" s="345"/>
      <c r="K43" s="90"/>
      <c r="L43" s="90"/>
    </row>
    <row r="44" spans="1:12" ht="24.75" customHeight="1" x14ac:dyDescent="0.25">
      <c r="A44" s="93" t="s">
        <v>198</v>
      </c>
      <c r="B44" s="92" t="s">
        <v>195</v>
      </c>
      <c r="C44" s="91" t="s">
        <v>641</v>
      </c>
      <c r="D44" s="346" t="s">
        <v>641</v>
      </c>
      <c r="E44" s="368">
        <v>43979</v>
      </c>
      <c r="F44" s="368">
        <v>44165</v>
      </c>
      <c r="G44" s="346"/>
      <c r="H44" s="346"/>
      <c r="I44" s="345">
        <v>100</v>
      </c>
      <c r="J44" s="345"/>
      <c r="K44" s="90"/>
      <c r="L44" s="90"/>
    </row>
    <row r="45" spans="1:12" ht="90.75" customHeight="1" x14ac:dyDescent="0.25">
      <c r="A45" s="93" t="s">
        <v>196</v>
      </c>
      <c r="B45" s="92" t="s">
        <v>448</v>
      </c>
      <c r="C45" s="91" t="s">
        <v>641</v>
      </c>
      <c r="D45" s="346" t="s">
        <v>641</v>
      </c>
      <c r="E45" s="345" t="s">
        <v>530</v>
      </c>
      <c r="F45" s="345" t="s">
        <v>530</v>
      </c>
      <c r="G45" s="345"/>
      <c r="H45" s="345"/>
      <c r="I45" s="345"/>
      <c r="J45" s="345"/>
      <c r="K45" s="90"/>
      <c r="L45" s="90"/>
    </row>
    <row r="46" spans="1:12" ht="167.25" customHeight="1" x14ac:dyDescent="0.25">
      <c r="A46" s="93" t="s">
        <v>194</v>
      </c>
      <c r="B46" s="92" t="s">
        <v>446</v>
      </c>
      <c r="C46" s="91" t="s">
        <v>641</v>
      </c>
      <c r="D46" s="346" t="s">
        <v>641</v>
      </c>
      <c r="E46" s="345" t="s">
        <v>530</v>
      </c>
      <c r="F46" s="345" t="s">
        <v>530</v>
      </c>
      <c r="G46" s="345"/>
      <c r="H46" s="345"/>
      <c r="I46" s="345"/>
      <c r="J46" s="345"/>
      <c r="K46" s="90"/>
      <c r="L46" s="90"/>
    </row>
    <row r="47" spans="1:12" ht="30.75" customHeight="1" x14ac:dyDescent="0.25">
      <c r="A47" s="93" t="s">
        <v>192</v>
      </c>
      <c r="B47" s="92" t="s">
        <v>193</v>
      </c>
      <c r="C47" s="91" t="s">
        <v>641</v>
      </c>
      <c r="D47" s="346" t="s">
        <v>641</v>
      </c>
      <c r="E47" s="368">
        <v>44165</v>
      </c>
      <c r="F47" s="368">
        <v>44165</v>
      </c>
      <c r="G47" s="346"/>
      <c r="H47" s="346"/>
      <c r="I47" s="345">
        <v>100</v>
      </c>
      <c r="J47" s="345"/>
      <c r="K47" s="90"/>
      <c r="L47" s="90"/>
    </row>
    <row r="48" spans="1:12" ht="37.5" customHeight="1" x14ac:dyDescent="0.25">
      <c r="A48" s="93" t="s">
        <v>458</v>
      </c>
      <c r="B48" s="94" t="s">
        <v>191</v>
      </c>
      <c r="C48" s="91" t="s">
        <v>641</v>
      </c>
      <c r="D48" s="346" t="s">
        <v>641</v>
      </c>
      <c r="E48" s="345" t="s">
        <v>530</v>
      </c>
      <c r="F48" s="345" t="s">
        <v>530</v>
      </c>
      <c r="G48" s="346"/>
      <c r="H48" s="346"/>
      <c r="I48" s="346"/>
      <c r="J48" s="346"/>
      <c r="K48" s="90"/>
      <c r="L48" s="90"/>
    </row>
    <row r="49" spans="1:12" ht="35.25" customHeight="1" x14ac:dyDescent="0.25">
      <c r="A49" s="93">
        <v>4</v>
      </c>
      <c r="B49" s="92" t="s">
        <v>189</v>
      </c>
      <c r="C49" s="91" t="s">
        <v>641</v>
      </c>
      <c r="D49" s="346" t="s">
        <v>641</v>
      </c>
      <c r="E49" s="368"/>
      <c r="F49" s="368"/>
      <c r="G49" s="346"/>
      <c r="H49" s="346"/>
      <c r="I49" s="346"/>
      <c r="J49" s="346"/>
      <c r="K49" s="90"/>
      <c r="L49" s="90"/>
    </row>
    <row r="50" spans="1:12" ht="86.25" customHeight="1" x14ac:dyDescent="0.25">
      <c r="A50" s="93" t="s">
        <v>190</v>
      </c>
      <c r="B50" s="92" t="s">
        <v>447</v>
      </c>
      <c r="C50" s="91" t="s">
        <v>641</v>
      </c>
      <c r="D50" s="346" t="s">
        <v>641</v>
      </c>
      <c r="E50" s="368">
        <v>44172</v>
      </c>
      <c r="F50" s="368">
        <v>44172</v>
      </c>
      <c r="G50" s="346"/>
      <c r="H50" s="346"/>
      <c r="I50" s="345">
        <v>100</v>
      </c>
      <c r="J50" s="345"/>
      <c r="K50" s="90"/>
      <c r="L50" s="90"/>
    </row>
    <row r="51" spans="1:12" ht="77.25" customHeight="1" x14ac:dyDescent="0.25">
      <c r="A51" s="93" t="s">
        <v>188</v>
      </c>
      <c r="B51" s="92" t="s">
        <v>449</v>
      </c>
      <c r="C51" s="91" t="s">
        <v>641</v>
      </c>
      <c r="D51" s="346" t="s">
        <v>641</v>
      </c>
      <c r="E51" s="345" t="s">
        <v>530</v>
      </c>
      <c r="F51" s="345" t="s">
        <v>530</v>
      </c>
      <c r="G51" s="345"/>
      <c r="H51" s="345"/>
      <c r="I51" s="345"/>
      <c r="J51" s="345"/>
      <c r="K51" s="90"/>
      <c r="L51" s="90"/>
    </row>
    <row r="52" spans="1:12" ht="71.25" customHeight="1" x14ac:dyDescent="0.25">
      <c r="A52" s="93" t="s">
        <v>186</v>
      </c>
      <c r="B52" s="92" t="s">
        <v>187</v>
      </c>
      <c r="C52" s="91" t="s">
        <v>641</v>
      </c>
      <c r="D52" s="346" t="s">
        <v>641</v>
      </c>
      <c r="E52" s="368">
        <v>44126</v>
      </c>
      <c r="F52" s="368">
        <v>44126</v>
      </c>
      <c r="G52" s="346"/>
      <c r="H52" s="346"/>
      <c r="I52" s="345">
        <v>100</v>
      </c>
      <c r="J52" s="345"/>
      <c r="K52" s="90"/>
      <c r="L52" s="90"/>
    </row>
    <row r="53" spans="1:12" ht="48" customHeight="1" x14ac:dyDescent="0.25">
      <c r="A53" s="93" t="s">
        <v>184</v>
      </c>
      <c r="B53" s="158" t="s">
        <v>450</v>
      </c>
      <c r="C53" s="91" t="s">
        <v>641</v>
      </c>
      <c r="D53" s="346" t="s">
        <v>641</v>
      </c>
      <c r="E53" s="368">
        <v>44172</v>
      </c>
      <c r="F53" s="368">
        <v>44172</v>
      </c>
      <c r="G53" s="346"/>
      <c r="H53" s="346"/>
      <c r="I53" s="345">
        <v>100</v>
      </c>
      <c r="J53" s="345"/>
      <c r="K53" s="90"/>
      <c r="L53" s="90"/>
    </row>
    <row r="54" spans="1:12" ht="46.5" customHeight="1" x14ac:dyDescent="0.25">
      <c r="A54" s="93" t="s">
        <v>451</v>
      </c>
      <c r="B54" s="92" t="s">
        <v>185</v>
      </c>
      <c r="C54" s="91" t="s">
        <v>641</v>
      </c>
      <c r="D54" s="346" t="s">
        <v>641</v>
      </c>
      <c r="E54" s="347">
        <v>44194</v>
      </c>
      <c r="F54" s="347">
        <v>44194</v>
      </c>
      <c r="G54" s="346"/>
      <c r="H54" s="346"/>
      <c r="I54" s="346">
        <v>100</v>
      </c>
      <c r="J54" s="346"/>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2022-02-12T15:18:03Z</dcterms:modified>
</cp:coreProperties>
</file>