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AE52" i="15" l="1"/>
  <c r="AE30" i="15"/>
  <c r="AE24" i="15"/>
  <c r="R30" i="15"/>
  <c r="S30"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B24" i="15"/>
  <c r="AA30" i="15"/>
  <c r="Z30" i="15"/>
  <c r="Y30" i="15"/>
  <c r="W30" i="15"/>
  <c r="V30" i="15"/>
  <c r="U30" i="15"/>
  <c r="T30" i="15"/>
  <c r="Q30" i="15"/>
  <c r="P30" i="15"/>
  <c r="AA24" i="15"/>
  <c r="Z24" i="15"/>
  <c r="Y24" i="15"/>
  <c r="W24" i="15"/>
  <c r="V24" i="15"/>
  <c r="U24" i="15"/>
  <c r="T24" i="15"/>
  <c r="S24" i="15"/>
  <c r="R24" i="15"/>
  <c r="AC24" i="15" s="1"/>
  <c r="Q24" i="15"/>
  <c r="P24" i="15"/>
  <c r="G24" i="15"/>
  <c r="O30" i="15"/>
  <c r="N30" i="15"/>
  <c r="M30" i="15"/>
  <c r="L30" i="15"/>
  <c r="K30" i="15"/>
  <c r="J30" i="15"/>
  <c r="I30" i="15"/>
  <c r="H30" i="15"/>
  <c r="O24" i="15"/>
  <c r="N24" i="15"/>
  <c r="M24" i="15"/>
  <c r="L24" i="15"/>
  <c r="K24" i="15"/>
  <c r="J24" i="15"/>
  <c r="I24" i="15"/>
  <c r="H24" i="15"/>
  <c r="L23" i="15"/>
  <c r="M23" i="15" s="1"/>
  <c r="N23" i="15" s="1"/>
  <c r="O23" i="15" s="1"/>
  <c r="AD29" i="5" l="1"/>
  <c r="AD32" i="5" s="1"/>
  <c r="B29" i="53" s="1"/>
  <c r="L29" i="5"/>
  <c r="D29" i="5"/>
  <c r="B50" i="53"/>
  <c r="B22" i="53" l="1"/>
  <c r="I119" i="56"/>
  <c r="A15" i="56"/>
  <c r="A12" i="56"/>
  <c r="A9" i="56"/>
  <c r="A5" i="56"/>
  <c r="F141" i="56"/>
  <c r="E141" i="56"/>
  <c r="D141" i="56"/>
  <c r="C141" i="56"/>
  <c r="B141" i="56"/>
  <c r="G140" i="56"/>
  <c r="F140"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F137" i="56"/>
  <c r="D137" i="56"/>
  <c r="E137" i="56" s="1"/>
  <c r="C137" i="56"/>
  <c r="I136" i="56"/>
  <c r="G136" i="56"/>
  <c r="H136" i="56" s="1"/>
  <c r="H135" i="56"/>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F135" i="56"/>
  <c r="G135" i="56" s="1"/>
  <c r="D135" i="56"/>
  <c r="E135" i="56" s="1"/>
  <c r="C135" i="56"/>
  <c r="B126" i="56"/>
  <c r="B81" i="56" s="1"/>
  <c r="G120" i="56"/>
  <c r="G119" i="56"/>
  <c r="G118" i="56"/>
  <c r="I118" i="56" s="1"/>
  <c r="I120" i="56" s="1"/>
  <c r="C109" i="56" s="1"/>
  <c r="D118" i="56"/>
  <c r="B118" i="56"/>
  <c r="B112" i="56"/>
  <c r="T107" i="56"/>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E107" i="56"/>
  <c r="F107" i="56" s="1"/>
  <c r="G107" i="56" s="1"/>
  <c r="H107" i="56" s="1"/>
  <c r="I107" i="56" s="1"/>
  <c r="J107" i="56" s="1"/>
  <c r="K107" i="56" s="1"/>
  <c r="L107" i="56" s="1"/>
  <c r="M107" i="56" s="1"/>
  <c r="N107" i="56" s="1"/>
  <c r="O107" i="56" s="1"/>
  <c r="P107" i="56" s="1"/>
  <c r="Q107" i="56" s="1"/>
  <c r="R107" i="56" s="1"/>
  <c r="S107" i="56" s="1"/>
  <c r="D107" i="56"/>
  <c r="R91" i="56"/>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H91" i="56"/>
  <c r="I91" i="56" s="1"/>
  <c r="J91" i="56" s="1"/>
  <c r="K91" i="56" s="1"/>
  <c r="L91" i="56" s="1"/>
  <c r="M91" i="56" s="1"/>
  <c r="N91" i="56" s="1"/>
  <c r="O91" i="56" s="1"/>
  <c r="P91" i="56" s="1"/>
  <c r="Q91" i="56" s="1"/>
  <c r="E91" i="56"/>
  <c r="F91" i="56" s="1"/>
  <c r="G91" i="56" s="1"/>
  <c r="D91" i="56"/>
  <c r="C91" i="56"/>
  <c r="B76" i="56"/>
  <c r="B74" i="56"/>
  <c r="B73" i="56"/>
  <c r="A62" i="56"/>
  <c r="B60" i="56"/>
  <c r="C58" i="56"/>
  <c r="C74" i="56" s="1"/>
  <c r="C52" i="56"/>
  <c r="B52" i="56"/>
  <c r="D48" i="56"/>
  <c r="C48" i="56"/>
  <c r="B48" i="56"/>
  <c r="B47" i="56"/>
  <c r="B46" i="56"/>
  <c r="B45" i="56"/>
  <c r="B44" i="56"/>
  <c r="B27" i="56"/>
  <c r="B50" i="56" l="1"/>
  <c r="B59" i="56" s="1"/>
  <c r="B29" i="56"/>
  <c r="B79" i="56"/>
  <c r="B80" i="56"/>
  <c r="B66" i="56"/>
  <c r="B68" i="56" s="1"/>
  <c r="AQ81" i="56"/>
  <c r="J136" i="56"/>
  <c r="E48" i="56"/>
  <c r="B25" i="56"/>
  <c r="G137" i="56"/>
  <c r="B49" i="56"/>
  <c r="C47" i="56"/>
  <c r="D58" i="56"/>
  <c r="B85" i="56"/>
  <c r="B99" i="56" s="1"/>
  <c r="D109" i="56"/>
  <c r="C108" i="56"/>
  <c r="H140" i="56"/>
  <c r="G141" i="56"/>
  <c r="C73" i="56" s="1"/>
  <c r="C85" i="56" s="1"/>
  <c r="C99" i="56" s="1"/>
  <c r="B105" i="53"/>
  <c r="E109" i="56" l="1"/>
  <c r="D108" i="56"/>
  <c r="H137" i="56"/>
  <c r="C49" i="56"/>
  <c r="C61" i="56" s="1"/>
  <c r="C60" i="56" s="1"/>
  <c r="I140" i="56"/>
  <c r="I141" i="56"/>
  <c r="E73" i="56" s="1"/>
  <c r="E85" i="56" s="1"/>
  <c r="E99" i="56" s="1"/>
  <c r="C67" i="56"/>
  <c r="B54" i="56"/>
  <c r="H141" i="56"/>
  <c r="D73" i="56" s="1"/>
  <c r="D85" i="56" s="1"/>
  <c r="D99" i="56" s="1"/>
  <c r="E58" i="56"/>
  <c r="D52" i="56"/>
  <c r="D74" i="56"/>
  <c r="D47" i="56"/>
  <c r="B75" i="56"/>
  <c r="C50" i="56"/>
  <c r="C59" i="56" s="1"/>
  <c r="F48" i="56"/>
  <c r="K136" i="56"/>
  <c r="B74" i="53"/>
  <c r="B73" i="53"/>
  <c r="B71" i="53"/>
  <c r="B67" i="53"/>
  <c r="C80" i="56" l="1"/>
  <c r="C66" i="56"/>
  <c r="C68" i="56" s="1"/>
  <c r="C79" i="56"/>
  <c r="B55" i="56"/>
  <c r="B56" i="56" s="1"/>
  <c r="B69" i="56" s="1"/>
  <c r="L136" i="56"/>
  <c r="G48" i="56"/>
  <c r="C76" i="56"/>
  <c r="F76" i="56"/>
  <c r="D67" i="56"/>
  <c r="I137" i="56"/>
  <c r="D49" i="56"/>
  <c r="D61" i="56" s="1"/>
  <c r="D60" i="56" s="1"/>
  <c r="E74" i="56"/>
  <c r="E52" i="56"/>
  <c r="E47" i="56"/>
  <c r="F58" i="56"/>
  <c r="D50" i="56"/>
  <c r="D59" i="56" s="1"/>
  <c r="J140" i="56"/>
  <c r="E108" i="56"/>
  <c r="F109" i="56"/>
  <c r="B27" i="53"/>
  <c r="B87" i="53" s="1"/>
  <c r="B82" i="56" l="1"/>
  <c r="C53" i="56"/>
  <c r="E50" i="56"/>
  <c r="E59" i="56" s="1"/>
  <c r="D66" i="56"/>
  <c r="D68" i="56" s="1"/>
  <c r="D80" i="56"/>
  <c r="E67" i="56"/>
  <c r="D76" i="56"/>
  <c r="D79" i="56"/>
  <c r="K140" i="56"/>
  <c r="F52" i="56"/>
  <c r="F47" i="56"/>
  <c r="G58" i="56"/>
  <c r="F74" i="56"/>
  <c r="C55" i="56"/>
  <c r="J141" i="56"/>
  <c r="F73" i="56" s="1"/>
  <c r="F85" i="56" s="1"/>
  <c r="F99" i="56" s="1"/>
  <c r="B77" i="56"/>
  <c r="B70" i="56"/>
  <c r="G109" i="56"/>
  <c r="F108" i="56"/>
  <c r="J137" i="56"/>
  <c r="E49" i="56"/>
  <c r="E61" i="56" s="1"/>
  <c r="E60" i="56" s="1"/>
  <c r="M136" i="56"/>
  <c r="H48" i="56"/>
  <c r="C75" i="56"/>
  <c r="C27" i="6"/>
  <c r="C40" i="7"/>
  <c r="H109" i="56" l="1"/>
  <c r="G108" i="56"/>
  <c r="L140" i="56"/>
  <c r="E66" i="56"/>
  <c r="E68" i="56" s="1"/>
  <c r="E80" i="56"/>
  <c r="C82" i="56"/>
  <c r="C56" i="56"/>
  <c r="C69" i="56" s="1"/>
  <c r="G74" i="56"/>
  <c r="G52" i="56"/>
  <c r="G47" i="56"/>
  <c r="H58" i="56"/>
  <c r="K141" i="56"/>
  <c r="G73" i="56" s="1"/>
  <c r="G85" i="56" s="1"/>
  <c r="G99" i="56" s="1"/>
  <c r="E76" i="56"/>
  <c r="F67" i="56"/>
  <c r="K137" i="56"/>
  <c r="F49" i="56"/>
  <c r="E79" i="56"/>
  <c r="F79" i="56" s="1"/>
  <c r="B71" i="56"/>
  <c r="D53" i="56"/>
  <c r="F61" i="56"/>
  <c r="F60" i="56" s="1"/>
  <c r="N136" i="56"/>
  <c r="I48" i="56"/>
  <c r="F50" i="56"/>
  <c r="F59" i="56" s="1"/>
  <c r="D75" i="56"/>
  <c r="X30" i="15"/>
  <c r="B78" i="56" l="1"/>
  <c r="B83" i="56" s="1"/>
  <c r="L137" i="56"/>
  <c r="G49" i="56"/>
  <c r="G61" i="56" s="1"/>
  <c r="G60" i="56" s="1"/>
  <c r="G67" i="56"/>
  <c r="E75" i="56"/>
  <c r="I109" i="56"/>
  <c r="H108" i="56"/>
  <c r="O136" i="56"/>
  <c r="J48" i="56"/>
  <c r="I58" i="56"/>
  <c r="H52" i="56"/>
  <c r="H74" i="56"/>
  <c r="H47" i="56"/>
  <c r="C77" i="56"/>
  <c r="C70" i="56"/>
  <c r="M140" i="56"/>
  <c r="M141" i="56"/>
  <c r="I73" i="56" s="1"/>
  <c r="I85" i="56" s="1"/>
  <c r="I99" i="56" s="1"/>
  <c r="L141" i="56"/>
  <c r="H73" i="56" s="1"/>
  <c r="H85" i="56" s="1"/>
  <c r="H99" i="56" s="1"/>
  <c r="F80" i="56"/>
  <c r="F66" i="56"/>
  <c r="F68" i="56" s="1"/>
  <c r="D55" i="56"/>
  <c r="B72" i="56"/>
  <c r="G50" i="56"/>
  <c r="G59" i="56" s="1"/>
  <c r="I23" i="12"/>
  <c r="J23" i="12"/>
  <c r="H23" i="12"/>
  <c r="S23" i="12"/>
  <c r="H61" i="56" l="1"/>
  <c r="H60" i="56" s="1"/>
  <c r="G76" i="56"/>
  <c r="H67" i="56"/>
  <c r="B84" i="56"/>
  <c r="B89" i="56" s="1"/>
  <c r="B86" i="56"/>
  <c r="B88" i="56"/>
  <c r="G80" i="56"/>
  <c r="G66" i="56"/>
  <c r="G68" i="56" s="1"/>
  <c r="G79" i="56"/>
  <c r="N140" i="56"/>
  <c r="N141" i="56"/>
  <c r="J73" i="56" s="1"/>
  <c r="J85" i="56" s="1"/>
  <c r="J99" i="56" s="1"/>
  <c r="P136" i="56"/>
  <c r="K48" i="56"/>
  <c r="D82" i="56"/>
  <c r="D56" i="56"/>
  <c r="D69" i="56" s="1"/>
  <c r="C71" i="56"/>
  <c r="C72" i="56" s="1"/>
  <c r="H50" i="56"/>
  <c r="H59" i="56" s="1"/>
  <c r="M137" i="56"/>
  <c r="H49" i="56"/>
  <c r="E53" i="56"/>
  <c r="F75" i="56"/>
  <c r="J58" i="56"/>
  <c r="I74" i="56"/>
  <c r="I47" i="56"/>
  <c r="I52" i="56"/>
  <c r="J109" i="56"/>
  <c r="I108" i="56"/>
  <c r="B38" i="53"/>
  <c r="B42" i="53"/>
  <c r="K109" i="56" l="1"/>
  <c r="J108" i="56"/>
  <c r="J74" i="56"/>
  <c r="J47" i="56"/>
  <c r="K58" i="56"/>
  <c r="J52" i="56"/>
  <c r="N137" i="56"/>
  <c r="I49" i="56"/>
  <c r="I61" i="56" s="1"/>
  <c r="I60" i="56" s="1"/>
  <c r="D77" i="56"/>
  <c r="D70" i="56"/>
  <c r="Q136" i="56"/>
  <c r="L48" i="56"/>
  <c r="G75" i="56"/>
  <c r="H79" i="56"/>
  <c r="B87" i="56"/>
  <c r="B90" i="56" s="1"/>
  <c r="E55" i="56"/>
  <c r="F53" i="56" s="1"/>
  <c r="H66" i="56"/>
  <c r="H68" i="56" s="1"/>
  <c r="H80" i="56"/>
  <c r="O141" i="56"/>
  <c r="K73" i="56" s="1"/>
  <c r="K85" i="56" s="1"/>
  <c r="K99" i="56" s="1"/>
  <c r="O140" i="56"/>
  <c r="I67" i="56"/>
  <c r="H76" i="56"/>
  <c r="I50" i="56"/>
  <c r="I59" i="56" s="1"/>
  <c r="C78" i="56"/>
  <c r="C83" i="56" s="1"/>
  <c r="I66" i="56" l="1"/>
  <c r="I68" i="56" s="1"/>
  <c r="I80" i="56"/>
  <c r="I79" i="56"/>
  <c r="H75" i="56"/>
  <c r="K74" i="56"/>
  <c r="K47" i="56"/>
  <c r="K52" i="56"/>
  <c r="L58" i="56"/>
  <c r="L109" i="56"/>
  <c r="K108" i="56"/>
  <c r="F55" i="56"/>
  <c r="I76" i="56"/>
  <c r="J67" i="56"/>
  <c r="E56" i="56"/>
  <c r="E69" i="56" s="1"/>
  <c r="E82" i="56"/>
  <c r="R136" i="56"/>
  <c r="M48" i="56"/>
  <c r="O137" i="56"/>
  <c r="J49" i="56"/>
  <c r="J50" i="56" s="1"/>
  <c r="J59" i="56" s="1"/>
  <c r="C86" i="56"/>
  <c r="C84" i="56"/>
  <c r="C89" i="56" s="1"/>
  <c r="C88" i="56"/>
  <c r="P140" i="56"/>
  <c r="D71" i="56"/>
  <c r="D72" i="56"/>
  <c r="J80" i="56" l="1"/>
  <c r="Q140" i="56"/>
  <c r="Q141" i="56"/>
  <c r="M73" i="56" s="1"/>
  <c r="M85" i="56" s="1"/>
  <c r="M99" i="56" s="1"/>
  <c r="E77" i="56"/>
  <c r="E70" i="56"/>
  <c r="K67" i="56"/>
  <c r="J76" i="56"/>
  <c r="F82" i="56"/>
  <c r="F56" i="56"/>
  <c r="F69" i="56" s="1"/>
  <c r="I75" i="56"/>
  <c r="D78" i="56"/>
  <c r="D83" i="56" s="1"/>
  <c r="C87" i="56"/>
  <c r="C90" i="56" s="1"/>
  <c r="S136" i="56"/>
  <c r="N48" i="56"/>
  <c r="K50" i="56"/>
  <c r="K59" i="56" s="1"/>
  <c r="J61" i="56"/>
  <c r="J60" i="56" s="1"/>
  <c r="J66" i="56" s="1"/>
  <c r="J68" i="56" s="1"/>
  <c r="L108" i="56"/>
  <c r="M109" i="56"/>
  <c r="P141" i="56"/>
  <c r="L73" i="56" s="1"/>
  <c r="L85" i="56" s="1"/>
  <c r="L99" i="56" s="1"/>
  <c r="P137" i="56"/>
  <c r="K49" i="56"/>
  <c r="K61" i="56" s="1"/>
  <c r="K60" i="56" s="1"/>
  <c r="G53" i="56"/>
  <c r="M58" i="56"/>
  <c r="L52" i="56"/>
  <c r="L47" i="56"/>
  <c r="L74" i="56"/>
  <c r="H53" i="56" l="1"/>
  <c r="G55" i="56"/>
  <c r="N109" i="56"/>
  <c r="M108" i="56"/>
  <c r="K80" i="56"/>
  <c r="K66" i="56"/>
  <c r="K68" i="56" s="1"/>
  <c r="K79" i="56"/>
  <c r="L67" i="56"/>
  <c r="K76" i="56"/>
  <c r="J75" i="56"/>
  <c r="D86" i="56"/>
  <c r="D88" i="56"/>
  <c r="D84" i="56"/>
  <c r="D89" i="56" s="1"/>
  <c r="F77" i="56"/>
  <c r="F70" i="56"/>
  <c r="E71" i="56"/>
  <c r="R140" i="56"/>
  <c r="Q137" i="56"/>
  <c r="L49" i="56"/>
  <c r="L61" i="56" s="1"/>
  <c r="L60" i="56" s="1"/>
  <c r="T136" i="56"/>
  <c r="O48" i="56"/>
  <c r="J79" i="56"/>
  <c r="M52" i="56"/>
  <c r="N58" i="56"/>
  <c r="M74" i="56"/>
  <c r="M47" i="56"/>
  <c r="C49" i="7"/>
  <c r="D24" i="15"/>
  <c r="E24" i="15"/>
  <c r="F24" i="15"/>
  <c r="X24" i="15"/>
  <c r="C24" i="15"/>
  <c r="AB23" i="15"/>
  <c r="AC23" i="15"/>
  <c r="A5" i="53"/>
  <c r="E78" i="56" l="1"/>
  <c r="E83" i="56" s="1"/>
  <c r="L50" i="56"/>
  <c r="L59" i="56" s="1"/>
  <c r="H55" i="56"/>
  <c r="O58" i="56"/>
  <c r="N74" i="56"/>
  <c r="N47" i="56"/>
  <c r="N52" i="56"/>
  <c r="R137" i="56"/>
  <c r="M49" i="56"/>
  <c r="M61" i="56" s="1"/>
  <c r="M60" i="56" s="1"/>
  <c r="E72" i="56"/>
  <c r="M67" i="56"/>
  <c r="L76" i="56"/>
  <c r="M50" i="56"/>
  <c r="M59" i="56" s="1"/>
  <c r="S140" i="56"/>
  <c r="F71" i="56"/>
  <c r="F78" i="56" s="1"/>
  <c r="F83" i="56" s="1"/>
  <c r="F86" i="56" s="1"/>
  <c r="D87" i="56"/>
  <c r="D90" i="56" s="1"/>
  <c r="O109" i="56"/>
  <c r="N108" i="56"/>
  <c r="U136" i="56"/>
  <c r="P48" i="56"/>
  <c r="R141" i="56"/>
  <c r="N73" i="56" s="1"/>
  <c r="N85" i="56" s="1"/>
  <c r="N99" i="56" s="1"/>
  <c r="K75" i="56"/>
  <c r="G56" i="56"/>
  <c r="G69" i="56" s="1"/>
  <c r="G82" i="56"/>
  <c r="C48" i="7"/>
  <c r="F72" i="56" l="1"/>
  <c r="N50" i="56"/>
  <c r="N59" i="56" s="1"/>
  <c r="T141" i="56"/>
  <c r="P73" i="56" s="1"/>
  <c r="P85" i="56" s="1"/>
  <c r="P99" i="56" s="1"/>
  <c r="T140" i="56"/>
  <c r="M76" i="56"/>
  <c r="N67" i="56"/>
  <c r="H82" i="56"/>
  <c r="H56" i="56"/>
  <c r="H69" i="56" s="1"/>
  <c r="P109" i="56"/>
  <c r="O108" i="56"/>
  <c r="S141" i="56"/>
  <c r="O73" i="56" s="1"/>
  <c r="O85" i="56" s="1"/>
  <c r="O99" i="56" s="1"/>
  <c r="I53" i="56"/>
  <c r="V136" i="56"/>
  <c r="Q48" i="56"/>
  <c r="M66" i="56"/>
  <c r="M68" i="56" s="1"/>
  <c r="M80" i="56"/>
  <c r="L80" i="56"/>
  <c r="L66" i="56"/>
  <c r="L68" i="56" s="1"/>
  <c r="L79" i="56"/>
  <c r="M79" i="56" s="1"/>
  <c r="G77" i="56"/>
  <c r="G70" i="56"/>
  <c r="N49" i="56"/>
  <c r="N61" i="56" s="1"/>
  <c r="N60" i="56" s="1"/>
  <c r="S137" i="56"/>
  <c r="O74" i="56"/>
  <c r="O47" i="56"/>
  <c r="O52" i="56"/>
  <c r="P58" i="56"/>
  <c r="E86" i="56"/>
  <c r="F88" i="56"/>
  <c r="F84" i="56"/>
  <c r="E88" i="56"/>
  <c r="E84" i="56"/>
  <c r="E89" i="56" s="1"/>
  <c r="F89" i="56" l="1"/>
  <c r="G71" i="56"/>
  <c r="F87" i="56"/>
  <c r="E87" i="56"/>
  <c r="E90" i="56" s="1"/>
  <c r="W136" i="56"/>
  <c r="R48" i="56"/>
  <c r="N76" i="56"/>
  <c r="O67" i="56"/>
  <c r="Q58" i="56"/>
  <c r="P52" i="56"/>
  <c r="P74" i="56"/>
  <c r="P47" i="56"/>
  <c r="T137" i="56"/>
  <c r="O49" i="56"/>
  <c r="O61" i="56" s="1"/>
  <c r="O60" i="56" s="1"/>
  <c r="I55" i="56"/>
  <c r="P108" i="56"/>
  <c r="Q109" i="56"/>
  <c r="N66" i="56"/>
  <c r="N68" i="56" s="1"/>
  <c r="N80" i="56"/>
  <c r="N79" i="56"/>
  <c r="L75" i="56"/>
  <c r="M75" i="56"/>
  <c r="H77" i="56"/>
  <c r="H70" i="56"/>
  <c r="U140" i="56"/>
  <c r="U141" i="56"/>
  <c r="Q73" i="56" s="1"/>
  <c r="Q85" i="56" s="1"/>
  <c r="Q99" i="56" s="1"/>
  <c r="A15" i="53"/>
  <c r="B21" i="53" s="1"/>
  <c r="A12" i="53"/>
  <c r="A9" i="53"/>
  <c r="B68" i="53"/>
  <c r="B91" i="53"/>
  <c r="B90" i="53" s="1"/>
  <c r="B89" i="53"/>
  <c r="B88" i="53" s="1"/>
  <c r="B66" i="53"/>
  <c r="B49" i="53"/>
  <c r="B32" i="53"/>
  <c r="B80" i="53"/>
  <c r="B30" i="53" l="1"/>
  <c r="R109" i="56"/>
  <c r="Q108" i="56"/>
  <c r="O50" i="56"/>
  <c r="O59" i="56" s="1"/>
  <c r="U137" i="56"/>
  <c r="P49" i="56"/>
  <c r="P61" i="56" s="1"/>
  <c r="P60" i="56" s="1"/>
  <c r="Q52" i="56"/>
  <c r="Q74" i="56"/>
  <c r="R58" i="56"/>
  <c r="Q47" i="56"/>
  <c r="V140" i="56"/>
  <c r="V141" i="56"/>
  <c r="R73" i="56" s="1"/>
  <c r="R85" i="56" s="1"/>
  <c r="R99" i="56" s="1"/>
  <c r="I56" i="56"/>
  <c r="I69" i="56" s="1"/>
  <c r="I82" i="56"/>
  <c r="P67" i="56"/>
  <c r="O76" i="56"/>
  <c r="X136" i="56"/>
  <c r="S48" i="56"/>
  <c r="F90" i="56"/>
  <c r="G78" i="56"/>
  <c r="G83" i="56" s="1"/>
  <c r="H71" i="56"/>
  <c r="H72" i="56" s="1"/>
  <c r="N75" i="56"/>
  <c r="J53" i="56"/>
  <c r="G72" i="56"/>
  <c r="B83" i="53"/>
  <c r="B34" i="53"/>
  <c r="B55" i="53"/>
  <c r="B63" i="53"/>
  <c r="B76" i="53"/>
  <c r="B46" i="53"/>
  <c r="B51" i="53"/>
  <c r="B59" i="53"/>
  <c r="B72" i="53"/>
  <c r="Y136" i="56" l="1"/>
  <c r="T48" i="56"/>
  <c r="O80" i="56"/>
  <c r="O66" i="56"/>
  <c r="O68" i="56" s="1"/>
  <c r="O79" i="56"/>
  <c r="G86" i="56"/>
  <c r="G84" i="56"/>
  <c r="G89" i="56" s="1"/>
  <c r="G88" i="56"/>
  <c r="H78" i="56"/>
  <c r="H83" i="56" s="1"/>
  <c r="H86" i="56" s="1"/>
  <c r="I77" i="56"/>
  <c r="I70" i="56"/>
  <c r="R52" i="56"/>
  <c r="S58" i="56"/>
  <c r="R47" i="56"/>
  <c r="R74" i="56"/>
  <c r="V137" i="56"/>
  <c r="Q49" i="56"/>
  <c r="Q50" i="56" s="1"/>
  <c r="Q59" i="56" s="1"/>
  <c r="J55" i="56"/>
  <c r="K53" i="56"/>
  <c r="Q67" i="56"/>
  <c r="P76" i="56"/>
  <c r="P50" i="56"/>
  <c r="P59" i="56" s="1"/>
  <c r="S109" i="56"/>
  <c r="R108" i="56"/>
  <c r="W140" i="56"/>
  <c r="C23" i="6"/>
  <c r="A15" i="12"/>
  <c r="Q80" i="56" l="1"/>
  <c r="Q76" i="56"/>
  <c r="R67" i="56"/>
  <c r="S74" i="56"/>
  <c r="T58" i="56"/>
  <c r="S47" i="56"/>
  <c r="S52" i="56"/>
  <c r="T109" i="56"/>
  <c r="S108" i="56"/>
  <c r="K55" i="56"/>
  <c r="L53" i="56" s="1"/>
  <c r="W137" i="56"/>
  <c r="R49" i="56"/>
  <c r="R50" i="56" s="1"/>
  <c r="R59" i="56" s="1"/>
  <c r="H88" i="56"/>
  <c r="H87" i="56"/>
  <c r="G87" i="56"/>
  <c r="G90" i="56" s="1"/>
  <c r="Q61" i="56"/>
  <c r="Q60" i="56" s="1"/>
  <c r="Q66" i="56" s="1"/>
  <c r="Q68" i="56" s="1"/>
  <c r="X140" i="56"/>
  <c r="P80" i="56"/>
  <c r="P66" i="56"/>
  <c r="P68" i="56" s="1"/>
  <c r="P79" i="56"/>
  <c r="Q79" i="56" s="1"/>
  <c r="J82" i="56"/>
  <c r="J56" i="56"/>
  <c r="J69" i="56" s="1"/>
  <c r="I71" i="56"/>
  <c r="I78" i="56" s="1"/>
  <c r="I83" i="56" s="1"/>
  <c r="W141" i="56"/>
  <c r="S73" i="56" s="1"/>
  <c r="S85" i="56" s="1"/>
  <c r="S99" i="56" s="1"/>
  <c r="R61" i="56"/>
  <c r="R60" i="56" s="1"/>
  <c r="H84" i="56"/>
  <c r="H89" i="56" s="1"/>
  <c r="O75" i="56"/>
  <c r="Z136" i="56"/>
  <c r="U48" i="56"/>
  <c r="A8" i="17"/>
  <c r="E9" i="14"/>
  <c r="Q75" i="56" l="1"/>
  <c r="R80" i="56"/>
  <c r="R66" i="56"/>
  <c r="R68" i="56" s="1"/>
  <c r="R79" i="56"/>
  <c r="I86" i="56"/>
  <c r="I87" i="56" s="1"/>
  <c r="I90" i="56" s="1"/>
  <c r="I88" i="56"/>
  <c r="I84" i="56"/>
  <c r="I89" i="56" s="1"/>
  <c r="J77" i="56"/>
  <c r="J70" i="56"/>
  <c r="L55" i="56"/>
  <c r="Y140" i="56"/>
  <c r="Y141" i="56"/>
  <c r="U73" i="56" s="1"/>
  <c r="U85" i="56" s="1"/>
  <c r="U99" i="56" s="1"/>
  <c r="S50" i="56"/>
  <c r="S59" i="56" s="1"/>
  <c r="U58" i="56"/>
  <c r="T52" i="56"/>
  <c r="T74" i="56"/>
  <c r="T47" i="56"/>
  <c r="X141" i="56"/>
  <c r="T73" i="56" s="1"/>
  <c r="T85" i="56" s="1"/>
  <c r="T99" i="56" s="1"/>
  <c r="S49" i="56"/>
  <c r="S61" i="56" s="1"/>
  <c r="S60" i="56" s="1"/>
  <c r="X137" i="56"/>
  <c r="U109" i="56"/>
  <c r="T108" i="56"/>
  <c r="V48" i="56"/>
  <c r="AA136" i="56"/>
  <c r="I72" i="56"/>
  <c r="P75" i="56"/>
  <c r="H90" i="56"/>
  <c r="K82" i="56"/>
  <c r="K56" i="56"/>
  <c r="K69" i="56" s="1"/>
  <c r="R76" i="56"/>
  <c r="S67" i="56"/>
  <c r="T23" i="15"/>
  <c r="U23" i="15" s="1"/>
  <c r="V23" i="15" s="1"/>
  <c r="W23" i="15" s="1"/>
  <c r="X23" i="15" s="1"/>
  <c r="Y23" i="15" s="1"/>
  <c r="Z23" i="15" s="1"/>
  <c r="AA23" i="15" s="1"/>
  <c r="V109" i="56" l="1"/>
  <c r="U108" i="56"/>
  <c r="S80" i="56"/>
  <c r="S66" i="56"/>
  <c r="S68" i="56" s="1"/>
  <c r="S79" i="56"/>
  <c r="L82" i="56"/>
  <c r="L56" i="56"/>
  <c r="L69" i="56" s="1"/>
  <c r="S76" i="56"/>
  <c r="T67" i="56"/>
  <c r="AB136" i="56"/>
  <c r="W48" i="56"/>
  <c r="Y137" i="56"/>
  <c r="T49" i="56"/>
  <c r="T50" i="56" s="1"/>
  <c r="T59" i="56" s="1"/>
  <c r="M53" i="56"/>
  <c r="R75" i="56"/>
  <c r="Z140" i="56"/>
  <c r="J71" i="56"/>
  <c r="J78" i="56" s="1"/>
  <c r="J83" i="56" s="1"/>
  <c r="K77" i="56"/>
  <c r="K70" i="56"/>
  <c r="U74" i="56"/>
  <c r="V58" i="56"/>
  <c r="U47" i="56"/>
  <c r="U52"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J86" i="56" l="1"/>
  <c r="J87" i="56" s="1"/>
  <c r="J90" i="56" s="1"/>
  <c r="J88" i="56"/>
  <c r="J84" i="56"/>
  <c r="J89" i="56" s="1"/>
  <c r="T80" i="56"/>
  <c r="U61" i="56"/>
  <c r="U60" i="56" s="1"/>
  <c r="S75" i="56"/>
  <c r="W109" i="56"/>
  <c r="V108" i="56"/>
  <c r="V52" i="56"/>
  <c r="V47" i="56"/>
  <c r="V74" i="56"/>
  <c r="W58" i="56"/>
  <c r="K71" i="56"/>
  <c r="K78" i="56" s="1"/>
  <c r="K83" i="56" s="1"/>
  <c r="AA140" i="56"/>
  <c r="N53" i="56"/>
  <c r="M55" i="56"/>
  <c r="AC136" i="56"/>
  <c r="X48" i="56"/>
  <c r="L77" i="56"/>
  <c r="L70" i="56"/>
  <c r="Z141" i="56"/>
  <c r="V73" i="56" s="1"/>
  <c r="V85" i="56" s="1"/>
  <c r="V99" i="56" s="1"/>
  <c r="U67" i="56"/>
  <c r="T76" i="56"/>
  <c r="T61" i="56"/>
  <c r="T60" i="56" s="1"/>
  <c r="T66" i="56" s="1"/>
  <c r="T68" i="56" s="1"/>
  <c r="J72" i="56"/>
  <c r="Z137" i="56"/>
  <c r="U49" i="56"/>
  <c r="U50" i="56"/>
  <c r="U5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86" i="56" l="1"/>
  <c r="K87" i="56" s="1"/>
  <c r="K90" i="56" s="1"/>
  <c r="K88" i="56"/>
  <c r="K84" i="56"/>
  <c r="K89" i="56" s="1"/>
  <c r="AA137" i="56"/>
  <c r="V49" i="56"/>
  <c r="V50" i="56" s="1"/>
  <c r="V59" i="56" s="1"/>
  <c r="U76" i="56"/>
  <c r="V67" i="56"/>
  <c r="N55" i="56"/>
  <c r="T75" i="56"/>
  <c r="AB141" i="56"/>
  <c r="X73" i="56" s="1"/>
  <c r="X85" i="56" s="1"/>
  <c r="X99" i="56" s="1"/>
  <c r="AB140" i="56"/>
  <c r="W74" i="56"/>
  <c r="W52" i="56"/>
  <c r="W47" i="56"/>
  <c r="X58" i="56"/>
  <c r="U66" i="56"/>
  <c r="U68" i="56" s="1"/>
  <c r="U80" i="56"/>
  <c r="AD136" i="56"/>
  <c r="Y48" i="56"/>
  <c r="AA141" i="56"/>
  <c r="W73" i="56" s="1"/>
  <c r="W85" i="56" s="1"/>
  <c r="W99" i="56" s="1"/>
  <c r="X109" i="56"/>
  <c r="W108" i="56"/>
  <c r="L71" i="56"/>
  <c r="L78" i="56" s="1"/>
  <c r="L83" i="56" s="1"/>
  <c r="M56" i="56"/>
  <c r="M69" i="56" s="1"/>
  <c r="M82" i="56"/>
  <c r="K72" i="56"/>
  <c r="V61" i="56"/>
  <c r="V60" i="56" s="1"/>
  <c r="T79" i="56"/>
  <c r="U79" i="56" s="1"/>
  <c r="V80" i="56" l="1"/>
  <c r="V66" i="56"/>
  <c r="V68" i="56" s="1"/>
  <c r="V79" i="56"/>
  <c r="L86" i="56"/>
  <c r="L87" i="56" s="1"/>
  <c r="L84" i="56"/>
  <c r="L89" i="56" s="1"/>
  <c r="G28" i="56" s="1"/>
  <c r="C105" i="56" s="1"/>
  <c r="L88" i="56"/>
  <c r="B105" i="56" s="1"/>
  <c r="N82" i="56"/>
  <c r="N56" i="56"/>
  <c r="N69" i="56" s="1"/>
  <c r="L72" i="56"/>
  <c r="U75" i="56"/>
  <c r="AB137" i="56"/>
  <c r="W49" i="56"/>
  <c r="W61" i="56" s="1"/>
  <c r="W60" i="56" s="1"/>
  <c r="W50" i="56"/>
  <c r="W59" i="56" s="1"/>
  <c r="AE136" i="56"/>
  <c r="Z48" i="56"/>
  <c r="W67" i="56"/>
  <c r="V76" i="56"/>
  <c r="M77" i="56"/>
  <c r="M70" i="56"/>
  <c r="X108" i="56"/>
  <c r="Y109" i="56"/>
  <c r="Y58" i="56"/>
  <c r="X52" i="56"/>
  <c r="X74" i="56"/>
  <c r="X47" i="56"/>
  <c r="AC140" i="56"/>
  <c r="O53" i="56"/>
  <c r="AD140" i="56" l="1"/>
  <c r="Z58" i="56"/>
  <c r="Y74" i="56"/>
  <c r="Y52" i="56"/>
  <c r="Y47" i="56"/>
  <c r="AF136" i="56"/>
  <c r="AA48" i="56"/>
  <c r="N77" i="56"/>
  <c r="N70" i="56"/>
  <c r="X61" i="56"/>
  <c r="X60" i="56" s="1"/>
  <c r="Z109" i="56"/>
  <c r="Y108" i="56"/>
  <c r="W80" i="56"/>
  <c r="W66" i="56"/>
  <c r="W68" i="56" s="1"/>
  <c r="W79" i="56"/>
  <c r="L90" i="56"/>
  <c r="G29" i="56" s="1"/>
  <c r="D105" i="56" s="1"/>
  <c r="G30" i="56"/>
  <c r="A105" i="56" s="1"/>
  <c r="O55" i="56"/>
  <c r="W76" i="56"/>
  <c r="X67" i="56"/>
  <c r="AC141" i="56"/>
  <c r="Y73" i="56" s="1"/>
  <c r="Y85" i="56" s="1"/>
  <c r="Y99" i="56" s="1"/>
  <c r="M71" i="56"/>
  <c r="M78" i="56" s="1"/>
  <c r="M83" i="56" s="1"/>
  <c r="AC137" i="56"/>
  <c r="X49" i="56"/>
  <c r="X50" i="56" s="1"/>
  <c r="X59" i="56" s="1"/>
  <c r="V75" i="56"/>
  <c r="X66" i="56" l="1"/>
  <c r="X68" i="56" s="1"/>
  <c r="X80" i="56"/>
  <c r="X79" i="56"/>
  <c r="M86" i="56"/>
  <c r="M87" i="56" s="1"/>
  <c r="M90" i="56" s="1"/>
  <c r="M84" i="56"/>
  <c r="M89" i="56" s="1"/>
  <c r="M88" i="56"/>
  <c r="AD137" i="56"/>
  <c r="Y49" i="56"/>
  <c r="Y50" i="56" s="1"/>
  <c r="Y59" i="56" s="1"/>
  <c r="O82" i="56"/>
  <c r="O56" i="56"/>
  <c r="O69" i="56" s="1"/>
  <c r="Z108" i="56"/>
  <c r="AA109" i="56"/>
  <c r="AE141" i="56"/>
  <c r="AA73" i="56" s="1"/>
  <c r="AA85" i="56" s="1"/>
  <c r="AA99" i="56" s="1"/>
  <c r="AE140" i="56"/>
  <c r="Y67" i="56"/>
  <c r="X76" i="56"/>
  <c r="P53" i="56"/>
  <c r="W75" i="56"/>
  <c r="AG136" i="56"/>
  <c r="AB48" i="56"/>
  <c r="M72" i="56"/>
  <c r="N71" i="56"/>
  <c r="N78" i="56" s="1"/>
  <c r="N83" i="56" s="1"/>
  <c r="N72" i="56"/>
  <c r="Z74" i="56"/>
  <c r="Z47" i="56"/>
  <c r="Z52" i="56"/>
  <c r="AA58" i="56"/>
  <c r="Y61" i="56"/>
  <c r="Y60" i="56" s="1"/>
  <c r="AD141" i="56"/>
  <c r="Z73" i="56" s="1"/>
  <c r="Z85" i="56" s="1"/>
  <c r="Z99" i="56" s="1"/>
  <c r="Y66" i="56" l="1"/>
  <c r="Y68" i="56" s="1"/>
  <c r="Y80" i="56"/>
  <c r="Y79" i="56"/>
  <c r="N86" i="56"/>
  <c r="N87" i="56" s="1"/>
  <c r="N90" i="56" s="1"/>
  <c r="N84" i="56"/>
  <c r="N89" i="56" s="1"/>
  <c r="N88" i="56"/>
  <c r="AA74" i="56"/>
  <c r="AA47" i="56"/>
  <c r="AA52" i="56"/>
  <c r="AB58" i="56"/>
  <c r="P55" i="56"/>
  <c r="Q53" i="56"/>
  <c r="X75" i="56"/>
  <c r="AH136" i="56"/>
  <c r="AC48" i="56"/>
  <c r="AB109" i="56"/>
  <c r="AA108" i="56"/>
  <c r="Y76" i="56"/>
  <c r="Z67" i="56"/>
  <c r="AE137" i="56"/>
  <c r="Z49" i="56"/>
  <c r="Z61" i="56" s="1"/>
  <c r="Z60" i="56" s="1"/>
  <c r="AF140" i="56"/>
  <c r="AF141" i="56"/>
  <c r="AB73" i="56" s="1"/>
  <c r="AB85" i="56" s="1"/>
  <c r="AB99" i="56" s="1"/>
  <c r="O77" i="56"/>
  <c r="O70" i="56"/>
  <c r="O71" i="56" l="1"/>
  <c r="O78" i="56" s="1"/>
  <c r="O83" i="56" s="1"/>
  <c r="AB108" i="56"/>
  <c r="AC109" i="56"/>
  <c r="Y75" i="56"/>
  <c r="AF137" i="56"/>
  <c r="AA49" i="56"/>
  <c r="AA50" i="56" s="1"/>
  <c r="AA59" i="56" s="1"/>
  <c r="Q55" i="56"/>
  <c r="Z50" i="56"/>
  <c r="Z59" i="56" s="1"/>
  <c r="AI136" i="56"/>
  <c r="AD48" i="56"/>
  <c r="P82" i="56"/>
  <c r="P56" i="56"/>
  <c r="P69" i="56" s="1"/>
  <c r="AG140" i="56"/>
  <c r="AG141" i="56"/>
  <c r="AC73" i="56" s="1"/>
  <c r="AC85" i="56" s="1"/>
  <c r="AC99" i="56" s="1"/>
  <c r="AA67" i="56"/>
  <c r="Z76" i="56"/>
  <c r="AC58" i="56"/>
  <c r="AB52" i="56"/>
  <c r="AB47" i="56"/>
  <c r="AB74" i="56"/>
  <c r="O86" i="56" l="1"/>
  <c r="O87" i="56" s="1"/>
  <c r="O90" i="56" s="1"/>
  <c r="O84" i="56"/>
  <c r="O89" i="56" s="1"/>
  <c r="O88" i="56"/>
  <c r="AA80" i="56"/>
  <c r="P77" i="56"/>
  <c r="P70" i="56"/>
  <c r="Z80" i="56"/>
  <c r="Z66" i="56"/>
  <c r="Z68" i="56" s="1"/>
  <c r="Z79" i="56"/>
  <c r="AC52" i="56"/>
  <c r="AD58" i="56"/>
  <c r="AC74" i="56"/>
  <c r="AC47" i="56"/>
  <c r="AB67" i="56"/>
  <c r="AA76" i="56"/>
  <c r="AQ67" i="56"/>
  <c r="AA61" i="56"/>
  <c r="AA60" i="56" s="1"/>
  <c r="AA66" i="56" s="1"/>
  <c r="AA68" i="56" s="1"/>
  <c r="AG137" i="56"/>
  <c r="AB49" i="56"/>
  <c r="AB50" i="56" s="1"/>
  <c r="AB59" i="56" s="1"/>
  <c r="AC108" i="56"/>
  <c r="AD109" i="56"/>
  <c r="Q82" i="56"/>
  <c r="Q56" i="56"/>
  <c r="Q69" i="56" s="1"/>
  <c r="AH140" i="56"/>
  <c r="AJ136" i="56"/>
  <c r="AE48" i="56"/>
  <c r="R53" i="56"/>
  <c r="O72" i="56"/>
  <c r="AB80" i="56" l="1"/>
  <c r="AI140" i="56"/>
  <c r="Q77" i="56"/>
  <c r="Q70" i="56"/>
  <c r="AE58" i="56"/>
  <c r="AD74" i="56"/>
  <c r="AD47" i="56"/>
  <c r="AD52" i="56"/>
  <c r="AA75" i="56"/>
  <c r="R55" i="56"/>
  <c r="S53" i="56"/>
  <c r="AH141" i="56"/>
  <c r="AD73" i="56" s="1"/>
  <c r="AD85" i="56" s="1"/>
  <c r="AD99" i="56" s="1"/>
  <c r="AH137" i="56"/>
  <c r="AC49" i="56"/>
  <c r="AC67" i="56"/>
  <c r="AB76" i="56"/>
  <c r="P71" i="56"/>
  <c r="P78" i="56" s="1"/>
  <c r="P83" i="56" s="1"/>
  <c r="AB61" i="56"/>
  <c r="AB60" i="56" s="1"/>
  <c r="AB66" i="56" s="1"/>
  <c r="AB68" i="56" s="1"/>
  <c r="AE109" i="56"/>
  <c r="AD108" i="56"/>
  <c r="AC61" i="56"/>
  <c r="AC60" i="56" s="1"/>
  <c r="AK136" i="56"/>
  <c r="AF48" i="56"/>
  <c r="AC50" i="56"/>
  <c r="AC59" i="56" s="1"/>
  <c r="Z75" i="56"/>
  <c r="AA79" i="56"/>
  <c r="P86" i="56" l="1"/>
  <c r="P87" i="56" s="1"/>
  <c r="P90" i="56" s="1"/>
  <c r="P88" i="56"/>
  <c r="P84" i="56"/>
  <c r="P89" i="56" s="1"/>
  <c r="AB75" i="56"/>
  <c r="AD49" i="56"/>
  <c r="AD50" i="56" s="1"/>
  <c r="AD59" i="56" s="1"/>
  <c r="AI137" i="56"/>
  <c r="AJ140" i="56"/>
  <c r="AJ141" i="56"/>
  <c r="AF73" i="56" s="1"/>
  <c r="AF85" i="56" s="1"/>
  <c r="AF99" i="56" s="1"/>
  <c r="AL136" i="56"/>
  <c r="AG48" i="56"/>
  <c r="AF109" i="56"/>
  <c r="AE108" i="56"/>
  <c r="AE74" i="56"/>
  <c r="AE47" i="56"/>
  <c r="AF58" i="56"/>
  <c r="AE52" i="56"/>
  <c r="AI141" i="56"/>
  <c r="AE73" i="56" s="1"/>
  <c r="AE85" i="56" s="1"/>
  <c r="AE99" i="56" s="1"/>
  <c r="AC76" i="56"/>
  <c r="AD67" i="56"/>
  <c r="S55" i="56"/>
  <c r="Q71" i="56"/>
  <c r="Q78" i="56" s="1"/>
  <c r="AB79" i="56"/>
  <c r="AC79" i="56" s="1"/>
  <c r="AC66" i="56"/>
  <c r="AC68" i="56" s="1"/>
  <c r="AC80" i="56"/>
  <c r="P72" i="56"/>
  <c r="R56" i="56"/>
  <c r="R69" i="56" s="1"/>
  <c r="R82" i="56"/>
  <c r="AD61" i="56"/>
  <c r="AD60" i="56" s="1"/>
  <c r="Q83" i="56"/>
  <c r="AD66" i="56" l="1"/>
  <c r="AD68" i="56" s="1"/>
  <c r="AD80" i="56"/>
  <c r="AD79" i="56"/>
  <c r="R77" i="56"/>
  <c r="R70" i="56"/>
  <c r="AC75" i="56"/>
  <c r="S82" i="56"/>
  <c r="S56" i="56"/>
  <c r="S69" i="56" s="1"/>
  <c r="Q86" i="56"/>
  <c r="Q87" i="56" s="1"/>
  <c r="Q90" i="56" s="1"/>
  <c r="Q84" i="56"/>
  <c r="Q89" i="56" s="1"/>
  <c r="Q88" i="56"/>
  <c r="T53" i="56"/>
  <c r="AH48" i="56"/>
  <c r="AM136" i="56"/>
  <c r="AJ137" i="56"/>
  <c r="AE49" i="56"/>
  <c r="AE61" i="56" s="1"/>
  <c r="AE60" i="56" s="1"/>
  <c r="AD76" i="56"/>
  <c r="AE67" i="56"/>
  <c r="AE50" i="56"/>
  <c r="AE59" i="56" s="1"/>
  <c r="Q72" i="56"/>
  <c r="AG58" i="56"/>
  <c r="AF52" i="56"/>
  <c r="AF74" i="56"/>
  <c r="AF47" i="56"/>
  <c r="AF108" i="56"/>
  <c r="AG109" i="56"/>
  <c r="AK140" i="56"/>
  <c r="AK141" i="56"/>
  <c r="AG73" i="56" s="1"/>
  <c r="AG85" i="56" s="1"/>
  <c r="AG99" i="56" s="1"/>
  <c r="AG52" i="56" l="1"/>
  <c r="AG74" i="56"/>
  <c r="AG47" i="56"/>
  <c r="AH58" i="56"/>
  <c r="AN136" i="56"/>
  <c r="AI48" i="56"/>
  <c r="AL140" i="56"/>
  <c r="AL141" i="56"/>
  <c r="AH73" i="56" s="1"/>
  <c r="AH85" i="56" s="1"/>
  <c r="AH99" i="56" s="1"/>
  <c r="AE80" i="56"/>
  <c r="AE66" i="56"/>
  <c r="AE68" i="56" s="1"/>
  <c r="AE79" i="56"/>
  <c r="T55" i="56"/>
  <c r="U53" i="56" s="1"/>
  <c r="AG108" i="56"/>
  <c r="AH109" i="56"/>
  <c r="AF67" i="56"/>
  <c r="AE76" i="56"/>
  <c r="AK137" i="56"/>
  <c r="AF49" i="56"/>
  <c r="AF50" i="56" s="1"/>
  <c r="AF59" i="56" s="1"/>
  <c r="S77" i="56"/>
  <c r="S70" i="56"/>
  <c r="R71" i="56"/>
  <c r="R78" i="56" s="1"/>
  <c r="R83" i="56" s="1"/>
  <c r="R72" i="56"/>
  <c r="AD75" i="56"/>
  <c r="AF80" i="56" l="1"/>
  <c r="AG67" i="56"/>
  <c r="AF76" i="56"/>
  <c r="AR67" i="56"/>
  <c r="U55" i="56"/>
  <c r="V53" i="56"/>
  <c r="R86" i="56"/>
  <c r="R87" i="56" s="1"/>
  <c r="R90" i="56" s="1"/>
  <c r="R84" i="56"/>
  <c r="R89" i="56" s="1"/>
  <c r="R88" i="56"/>
  <c r="AH108" i="56"/>
  <c r="AI109" i="56"/>
  <c r="AM140" i="56"/>
  <c r="AL137" i="56"/>
  <c r="AG49" i="56"/>
  <c r="AG50" i="56" s="1"/>
  <c r="AG59" i="56" s="1"/>
  <c r="AE75" i="56"/>
  <c r="AO136" i="56"/>
  <c r="AJ48" i="56"/>
  <c r="S71" i="56"/>
  <c r="S78" i="56" s="1"/>
  <c r="S83" i="56" s="1"/>
  <c r="T82" i="56"/>
  <c r="T56" i="56"/>
  <c r="T69" i="56" s="1"/>
  <c r="AF61" i="56"/>
  <c r="AF60" i="56" s="1"/>
  <c r="AF66" i="56" s="1"/>
  <c r="AF68" i="56" s="1"/>
  <c r="AH52" i="56"/>
  <c r="AI58" i="56"/>
  <c r="AH47" i="56"/>
  <c r="AH74" i="56"/>
  <c r="S72" i="56" l="1"/>
  <c r="AF79" i="56"/>
  <c r="AF75" i="56"/>
  <c r="S86" i="56"/>
  <c r="S87" i="56" s="1"/>
  <c r="S90" i="56" s="1"/>
  <c r="S88" i="56"/>
  <c r="S84" i="56"/>
  <c r="S89" i="56" s="1"/>
  <c r="AG80" i="56"/>
  <c r="AI74" i="56"/>
  <c r="AJ58" i="56"/>
  <c r="AI47" i="56"/>
  <c r="AI52" i="56"/>
  <c r="AP136" i="56"/>
  <c r="AK48" i="56"/>
  <c r="AJ109" i="56"/>
  <c r="AI108" i="56"/>
  <c r="AM137" i="56"/>
  <c r="AH49" i="56"/>
  <c r="AH50" i="56"/>
  <c r="AH59" i="56" s="1"/>
  <c r="AN140" i="56"/>
  <c r="AG61" i="56"/>
  <c r="AG60" i="56" s="1"/>
  <c r="AG66" i="56" s="1"/>
  <c r="AG68" i="56" s="1"/>
  <c r="V55" i="56"/>
  <c r="AG76" i="56"/>
  <c r="AH67" i="56"/>
  <c r="AH61" i="56"/>
  <c r="AH60" i="56" s="1"/>
  <c r="T77" i="56"/>
  <c r="T70" i="56"/>
  <c r="AM141" i="56"/>
  <c r="AI73" i="56" s="1"/>
  <c r="AI85" i="56" s="1"/>
  <c r="AI99" i="56" s="1"/>
  <c r="U56" i="56"/>
  <c r="U69" i="56" s="1"/>
  <c r="U82" i="56"/>
  <c r="AG79" i="56" l="1"/>
  <c r="AG75" i="56"/>
  <c r="U77" i="56"/>
  <c r="U70" i="56"/>
  <c r="V82" i="56"/>
  <c r="V56" i="56"/>
  <c r="V69" i="56" s="1"/>
  <c r="AH80" i="56"/>
  <c r="AH66" i="56"/>
  <c r="AH68" i="56" s="1"/>
  <c r="AH79" i="56"/>
  <c r="AI50" i="56"/>
  <c r="AI59" i="56" s="1"/>
  <c r="AH76" i="56"/>
  <c r="AI67" i="56"/>
  <c r="AJ108" i="56"/>
  <c r="AK109" i="56"/>
  <c r="AI61" i="56"/>
  <c r="AI60" i="56" s="1"/>
  <c r="T71" i="56"/>
  <c r="T78" i="56" s="1"/>
  <c r="T83" i="56" s="1"/>
  <c r="AO140" i="56"/>
  <c r="AO141" i="56"/>
  <c r="AK73" i="56" s="1"/>
  <c r="AK85" i="56" s="1"/>
  <c r="AK99" i="56" s="1"/>
  <c r="AN137" i="56"/>
  <c r="AI49" i="56"/>
  <c r="AK58" i="56"/>
  <c r="AJ52" i="56"/>
  <c r="AJ74" i="56"/>
  <c r="AJ47" i="56"/>
  <c r="W53" i="56"/>
  <c r="AN141" i="56"/>
  <c r="AJ73" i="56" s="1"/>
  <c r="AJ85" i="56" s="1"/>
  <c r="AJ99" i="56" s="1"/>
  <c r="AQ136" i="56"/>
  <c r="AL48" i="56"/>
  <c r="T86" i="56" l="1"/>
  <c r="T87" i="56" s="1"/>
  <c r="T90" i="56" s="1"/>
  <c r="T84" i="56"/>
  <c r="T89" i="56" s="1"/>
  <c r="T88" i="56"/>
  <c r="AO137" i="56"/>
  <c r="AJ49" i="56"/>
  <c r="AI76" i="56"/>
  <c r="AJ67" i="56"/>
  <c r="AH75" i="56"/>
  <c r="U71" i="56"/>
  <c r="U78" i="56" s="1"/>
  <c r="U83" i="56" s="1"/>
  <c r="W55" i="56"/>
  <c r="X53" i="56" s="1"/>
  <c r="AK74" i="56"/>
  <c r="AK52" i="56"/>
  <c r="AK47" i="56"/>
  <c r="AL58" i="56"/>
  <c r="AP140" i="56"/>
  <c r="AL109" i="56"/>
  <c r="AK108" i="56"/>
  <c r="AI80" i="56"/>
  <c r="AI66" i="56"/>
  <c r="AI68" i="56" s="1"/>
  <c r="AI79" i="56"/>
  <c r="V77" i="56"/>
  <c r="V70" i="56"/>
  <c r="AR136" i="56"/>
  <c r="AM48" i="56"/>
  <c r="AJ61" i="56"/>
  <c r="AJ60" i="56" s="1"/>
  <c r="T72" i="56"/>
  <c r="AJ50" i="56"/>
  <c r="AJ59" i="56" s="1"/>
  <c r="U86" i="56" l="1"/>
  <c r="U87" i="56" s="1"/>
  <c r="U90" i="56" s="1"/>
  <c r="U84" i="56"/>
  <c r="U89" i="56" s="1"/>
  <c r="U88" i="56"/>
  <c r="AJ66" i="56"/>
  <c r="AJ68" i="56" s="1"/>
  <c r="AJ80" i="56"/>
  <c r="AJ79" i="56"/>
  <c r="AS136" i="56"/>
  <c r="AN48" i="56"/>
  <c r="AI75" i="56"/>
  <c r="AQ140" i="56"/>
  <c r="X55" i="56"/>
  <c r="AP137" i="56"/>
  <c r="AK49" i="56"/>
  <c r="V71" i="56"/>
  <c r="V78" i="56" s="1"/>
  <c r="V72" i="56"/>
  <c r="AP141" i="56"/>
  <c r="AL73" i="56" s="1"/>
  <c r="AL85" i="56" s="1"/>
  <c r="AL99" i="56" s="1"/>
  <c r="AK67" i="56"/>
  <c r="AJ76" i="56"/>
  <c r="V83" i="56"/>
  <c r="AK50" i="56"/>
  <c r="AK59" i="56" s="1"/>
  <c r="AL52" i="56"/>
  <c r="AL47" i="56"/>
  <c r="AL74" i="56"/>
  <c r="AM58" i="56"/>
  <c r="U72" i="56"/>
  <c r="AL108" i="56"/>
  <c r="AM109" i="56"/>
  <c r="AK61" i="56"/>
  <c r="AK60" i="56" s="1"/>
  <c r="W56" i="56"/>
  <c r="W69" i="56" s="1"/>
  <c r="W82" i="56"/>
  <c r="AM74" i="56" l="1"/>
  <c r="AM52" i="56"/>
  <c r="AM47" i="56"/>
  <c r="AN58" i="56"/>
  <c r="AK66" i="56"/>
  <c r="AK68" i="56" s="1"/>
  <c r="AK80" i="56"/>
  <c r="AK79" i="56"/>
  <c r="AQ137" i="56"/>
  <c r="AL49" i="56"/>
  <c r="AR140" i="56"/>
  <c r="AR141" i="56"/>
  <c r="AN73" i="56" s="1"/>
  <c r="AN85" i="56" s="1"/>
  <c r="AN99" i="56" s="1"/>
  <c r="AJ75" i="56"/>
  <c r="AN109" i="56"/>
  <c r="AM108" i="56"/>
  <c r="V86" i="56"/>
  <c r="V87" i="56" s="1"/>
  <c r="V90" i="56" s="1"/>
  <c r="V88" i="56"/>
  <c r="V84" i="56"/>
  <c r="V89" i="56" s="1"/>
  <c r="AQ141" i="56"/>
  <c r="AM73" i="56" s="1"/>
  <c r="AM85" i="56" s="1"/>
  <c r="AM99" i="56" s="1"/>
  <c r="AT136" i="56"/>
  <c r="AO48" i="56"/>
  <c r="AL50" i="56"/>
  <c r="AL59" i="56" s="1"/>
  <c r="AL61" i="56"/>
  <c r="AL60" i="56" s="1"/>
  <c r="X82" i="56"/>
  <c r="X56" i="56"/>
  <c r="X69" i="56" s="1"/>
  <c r="W77" i="56"/>
  <c r="W70" i="56"/>
  <c r="AK76" i="56"/>
  <c r="AL67" i="56"/>
  <c r="Y53" i="56"/>
  <c r="X77" i="56" l="1"/>
  <c r="X70" i="56"/>
  <c r="W71" i="56"/>
  <c r="W78" i="56" s="1"/>
  <c r="W83" i="56" s="1"/>
  <c r="AU136" i="56"/>
  <c r="AV136" i="56" s="1"/>
  <c r="AW136" i="56" s="1"/>
  <c r="AX136" i="56" s="1"/>
  <c r="AY136" i="56" s="1"/>
  <c r="AP48" i="56"/>
  <c r="AR137" i="56"/>
  <c r="AM49" i="56"/>
  <c r="AM61" i="56" s="1"/>
  <c r="AM60" i="56" s="1"/>
  <c r="AO58" i="56"/>
  <c r="AN52" i="56"/>
  <c r="AN74" i="56"/>
  <c r="AN47" i="56"/>
  <c r="Z53" i="56"/>
  <c r="Y55" i="56"/>
  <c r="AM50" i="56"/>
  <c r="AM59" i="56" s="1"/>
  <c r="AM67" i="56"/>
  <c r="AL76" i="56"/>
  <c r="AL80" i="56"/>
  <c r="AL66" i="56"/>
  <c r="AL68" i="56" s="1"/>
  <c r="AL79" i="56"/>
  <c r="AN108" i="56"/>
  <c r="AO109" i="56"/>
  <c r="AS140" i="56"/>
  <c r="AS141" i="56"/>
  <c r="AO73" i="56" s="1"/>
  <c r="AO85" i="56" s="1"/>
  <c r="AO99" i="56" s="1"/>
  <c r="AK75" i="56"/>
  <c r="W86" i="56" l="1"/>
  <c r="W87" i="56" s="1"/>
  <c r="W90" i="56" s="1"/>
  <c r="W88" i="56"/>
  <c r="W84" i="56"/>
  <c r="W89" i="56" s="1"/>
  <c r="AS137" i="56"/>
  <c r="AN49" i="56"/>
  <c r="AM76" i="56"/>
  <c r="AN67" i="56"/>
  <c r="Y56" i="56"/>
  <c r="Y69" i="56" s="1"/>
  <c r="Y82" i="56"/>
  <c r="X71" i="56"/>
  <c r="X78" i="56" s="1"/>
  <c r="AP109" i="56"/>
  <c r="AP108" i="56" s="1"/>
  <c r="AO108" i="56"/>
  <c r="AM80" i="56"/>
  <c r="AM66" i="56"/>
  <c r="AM68" i="56" s="1"/>
  <c r="AM79" i="56"/>
  <c r="AN61" i="56"/>
  <c r="AN60" i="56" s="1"/>
  <c r="AN50" i="56"/>
  <c r="AN59" i="56" s="1"/>
  <c r="W72" i="56"/>
  <c r="AT140" i="56"/>
  <c r="AL75" i="56"/>
  <c r="Z55" i="56"/>
  <c r="AA53" i="56"/>
  <c r="AP58" i="56"/>
  <c r="AO74" i="56"/>
  <c r="AO47" i="56"/>
  <c r="AO52" i="56"/>
  <c r="X83" i="56"/>
  <c r="AM75" i="56" l="1"/>
  <c r="Y77" i="56"/>
  <c r="Y70" i="56"/>
  <c r="AO49" i="56"/>
  <c r="AT137" i="56"/>
  <c r="X86" i="56"/>
  <c r="X87" i="56" s="1"/>
  <c r="X90" i="56" s="1"/>
  <c r="X88" i="56"/>
  <c r="X84" i="56"/>
  <c r="X89" i="56" s="1"/>
  <c r="AP74" i="56"/>
  <c r="AP47" i="56"/>
  <c r="AP52" i="56"/>
  <c r="AN80" i="56"/>
  <c r="AN66" i="56"/>
  <c r="AN68" i="56" s="1"/>
  <c r="AN79" i="56"/>
  <c r="AO67" i="56"/>
  <c r="AN76" i="56"/>
  <c r="AA55" i="56"/>
  <c r="AU141" i="56"/>
  <c r="AU140" i="56"/>
  <c r="AO50" i="56"/>
  <c r="AO59" i="56" s="1"/>
  <c r="X72" i="56"/>
  <c r="AO61" i="56"/>
  <c r="AO60" i="56" s="1"/>
  <c r="Z82" i="56"/>
  <c r="Z56" i="56"/>
  <c r="Z69" i="56" s="1"/>
  <c r="AT141" i="56"/>
  <c r="AP73" i="56" s="1"/>
  <c r="AP85" i="56" s="1"/>
  <c r="AP99" i="56" s="1"/>
  <c r="AQ99" i="56" s="1"/>
  <c r="A100" i="56" s="1"/>
  <c r="AA82" i="56" l="1"/>
  <c r="AA56" i="56"/>
  <c r="AA69" i="56" s="1"/>
  <c r="Z77" i="56"/>
  <c r="Z70" i="56"/>
  <c r="AN75" i="56"/>
  <c r="AV140" i="56"/>
  <c r="AP49" i="56"/>
  <c r="AP50" i="56" s="1"/>
  <c r="AP59" i="56" s="1"/>
  <c r="AU137" i="56"/>
  <c r="AV137" i="56" s="1"/>
  <c r="AW137" i="56" s="1"/>
  <c r="AX137" i="56" s="1"/>
  <c r="AY137" i="56" s="1"/>
  <c r="Y71" i="56"/>
  <c r="Y78" i="56" s="1"/>
  <c r="Y83" i="56" s="1"/>
  <c r="AO66" i="56"/>
  <c r="AO68" i="56" s="1"/>
  <c r="AO80" i="56"/>
  <c r="AO79" i="56"/>
  <c r="AB53" i="56"/>
  <c r="AP61" i="56"/>
  <c r="AP60" i="56" s="1"/>
  <c r="AO76" i="56"/>
  <c r="AP67" i="56"/>
  <c r="Y72" i="56" l="1"/>
  <c r="AW140" i="56"/>
  <c r="AW141" i="56" s="1"/>
  <c r="Y86" i="56"/>
  <c r="Y87" i="56" s="1"/>
  <c r="Y90" i="56" s="1"/>
  <c r="Y88" i="56"/>
  <c r="Y84" i="56"/>
  <c r="Y89" i="56" s="1"/>
  <c r="AB55" i="56"/>
  <c r="AP66" i="56"/>
  <c r="AP68" i="56" s="1"/>
  <c r="AP80" i="56"/>
  <c r="AP79" i="56"/>
  <c r="AA77" i="56"/>
  <c r="AA70" i="56"/>
  <c r="Z71" i="56"/>
  <c r="Z78" i="56" s="1"/>
  <c r="Z83" i="56" s="1"/>
  <c r="AO75" i="56"/>
  <c r="AP76" i="56"/>
  <c r="AS67" i="56"/>
  <c r="AV141" i="56"/>
  <c r="Z72" i="56" l="1"/>
  <c r="Z86" i="56"/>
  <c r="Z87" i="56" s="1"/>
  <c r="Z90" i="56" s="1"/>
  <c r="Z84" i="56"/>
  <c r="Z89" i="56" s="1"/>
  <c r="Z88" i="56"/>
  <c r="AB82" i="56"/>
  <c r="AB56" i="56"/>
  <c r="AB69" i="56" s="1"/>
  <c r="AC53" i="56"/>
  <c r="AA71" i="56"/>
  <c r="AA78" i="56" s="1"/>
  <c r="AA83" i="56" s="1"/>
  <c r="AP75" i="56"/>
  <c r="AX141" i="56"/>
  <c r="AX140" i="56"/>
  <c r="AA86" i="56" l="1"/>
  <c r="AA87" i="56" s="1"/>
  <c r="AA90" i="56" s="1"/>
  <c r="AA84" i="56"/>
  <c r="AA89" i="56" s="1"/>
  <c r="AA88" i="56"/>
  <c r="AY141" i="56"/>
  <c r="AY140" i="56"/>
  <c r="AC55" i="56"/>
  <c r="AD53" i="56" s="1"/>
  <c r="AA72" i="56"/>
  <c r="AB77" i="56"/>
  <c r="AB70" i="56"/>
  <c r="AD55" i="56" l="1"/>
  <c r="AE53" i="56" s="1"/>
  <c r="AB71" i="56"/>
  <c r="AB78" i="56" s="1"/>
  <c r="AB83" i="56" s="1"/>
  <c r="AC56" i="56"/>
  <c r="AC69" i="56" s="1"/>
  <c r="AC82" i="56"/>
  <c r="AE55" i="56" l="1"/>
  <c r="AF53" i="56" s="1"/>
  <c r="AB86" i="56"/>
  <c r="AB87" i="56" s="1"/>
  <c r="AB90" i="56" s="1"/>
  <c r="AB84" i="56"/>
  <c r="AB89" i="56" s="1"/>
  <c r="AB88" i="56"/>
  <c r="AB72" i="56"/>
  <c r="AC77" i="56"/>
  <c r="AC70" i="56"/>
  <c r="AD82" i="56"/>
  <c r="AD56" i="56"/>
  <c r="AD69" i="56" s="1"/>
  <c r="AC71" i="56" l="1"/>
  <c r="AC78" i="56" s="1"/>
  <c r="AC83" i="56" s="1"/>
  <c r="AD77" i="56"/>
  <c r="AD70" i="56"/>
  <c r="AE82" i="56"/>
  <c r="AE56" i="56"/>
  <c r="AE69" i="56" s="1"/>
  <c r="AF55" i="56"/>
  <c r="AC72" i="56" l="1"/>
  <c r="AE77" i="56"/>
  <c r="AE70" i="56"/>
  <c r="AF82" i="56"/>
  <c r="AF56" i="56"/>
  <c r="AF69" i="56" s="1"/>
  <c r="AC86" i="56"/>
  <c r="AC87" i="56" s="1"/>
  <c r="AC90" i="56" s="1"/>
  <c r="AC88" i="56"/>
  <c r="AC84" i="56"/>
  <c r="AC89" i="56" s="1"/>
  <c r="AG53" i="56"/>
  <c r="AD71" i="56"/>
  <c r="AD78" i="56" s="1"/>
  <c r="AD83" i="56" s="1"/>
  <c r="AD72" i="56"/>
  <c r="AD86" i="56" l="1"/>
  <c r="AD87" i="56" s="1"/>
  <c r="AD90" i="56" s="1"/>
  <c r="AD84" i="56"/>
  <c r="AD89" i="56" s="1"/>
  <c r="AD88" i="56"/>
  <c r="AF77" i="56"/>
  <c r="AF70" i="56"/>
  <c r="AE71" i="56"/>
  <c r="AE78" i="56" s="1"/>
  <c r="AE83" i="56" s="1"/>
  <c r="AE72" i="56"/>
  <c r="AH53" i="56"/>
  <c r="AG55" i="56"/>
  <c r="AE86" i="56" l="1"/>
  <c r="AE87" i="56" s="1"/>
  <c r="AE90" i="56" s="1"/>
  <c r="AE84" i="56"/>
  <c r="AE89" i="56" s="1"/>
  <c r="AE88" i="56"/>
  <c r="AH55" i="56"/>
  <c r="AG82" i="56"/>
  <c r="AG56" i="56"/>
  <c r="AG69" i="56" s="1"/>
  <c r="AF71" i="56"/>
  <c r="AF78" i="56" s="1"/>
  <c r="AF83" i="56" s="1"/>
  <c r="AF72" i="56" l="1"/>
  <c r="AF86" i="56"/>
  <c r="AF87" i="56" s="1"/>
  <c r="AF90" i="56" s="1"/>
  <c r="AF88" i="56"/>
  <c r="AF84" i="56"/>
  <c r="AF89" i="56" s="1"/>
  <c r="AG77" i="56"/>
  <c r="AG70" i="56"/>
  <c r="AH82" i="56"/>
  <c r="AH56" i="56"/>
  <c r="AH69" i="56" s="1"/>
  <c r="AI53" i="56"/>
  <c r="AI55" i="56" l="1"/>
  <c r="AH77" i="56"/>
  <c r="AH70" i="56"/>
  <c r="AG71" i="56"/>
  <c r="AG78" i="56" s="1"/>
  <c r="AG83" i="56" s="1"/>
  <c r="AG86" i="56" l="1"/>
  <c r="AG87" i="56" s="1"/>
  <c r="AG90" i="56" s="1"/>
  <c r="AG88" i="56"/>
  <c r="AG84" i="56"/>
  <c r="AG89" i="56" s="1"/>
  <c r="AG72" i="56"/>
  <c r="AI82" i="56"/>
  <c r="AI56" i="56"/>
  <c r="AI69" i="56" s="1"/>
  <c r="AH71" i="56"/>
  <c r="AH78" i="56" s="1"/>
  <c r="AH83" i="56" s="1"/>
  <c r="AJ53" i="56"/>
  <c r="AH86" i="56" l="1"/>
  <c r="AH87" i="56" s="1"/>
  <c r="AH90" i="56" s="1"/>
  <c r="AH84" i="56"/>
  <c r="AH89" i="56" s="1"/>
  <c r="AH88" i="56"/>
  <c r="AI77" i="56"/>
  <c r="AI70" i="56"/>
  <c r="AJ55" i="56"/>
  <c r="AH72" i="56"/>
  <c r="AJ82" i="56" l="1"/>
  <c r="AJ56" i="56"/>
  <c r="AJ69" i="56" s="1"/>
  <c r="AK53" i="56"/>
  <c r="AI71" i="56"/>
  <c r="AI78" i="56" s="1"/>
  <c r="AI83" i="56" s="1"/>
  <c r="AI72" i="56" l="1"/>
  <c r="AI86" i="56"/>
  <c r="AI87" i="56" s="1"/>
  <c r="AI90" i="56" s="1"/>
  <c r="AI84" i="56"/>
  <c r="AI89" i="56" s="1"/>
  <c r="AI88" i="56"/>
  <c r="AK55" i="56"/>
  <c r="AL53" i="56"/>
  <c r="AJ77" i="56"/>
  <c r="AJ70" i="56"/>
  <c r="AL55" i="56" l="1"/>
  <c r="AM53" i="56"/>
  <c r="AK56" i="56"/>
  <c r="AK69" i="56" s="1"/>
  <c r="AK82" i="56"/>
  <c r="AJ71" i="56"/>
  <c r="AJ78" i="56" s="1"/>
  <c r="AJ83" i="56" s="1"/>
  <c r="AJ72" i="56"/>
  <c r="AJ86" i="56" l="1"/>
  <c r="AJ87" i="56" s="1"/>
  <c r="AJ90" i="56" s="1"/>
  <c r="AJ84" i="56"/>
  <c r="AJ89" i="56" s="1"/>
  <c r="AJ88" i="56"/>
  <c r="AM55" i="56"/>
  <c r="AL82" i="56"/>
  <c r="AL56" i="56"/>
  <c r="AL69" i="56" s="1"/>
  <c r="AK77" i="56"/>
  <c r="AK70" i="56"/>
  <c r="AK71" i="56" l="1"/>
  <c r="AK78" i="56" s="1"/>
  <c r="AK83" i="56" s="1"/>
  <c r="AM56" i="56"/>
  <c r="AM69" i="56" s="1"/>
  <c r="AM82" i="56"/>
  <c r="AN53" i="56"/>
  <c r="AL77" i="56"/>
  <c r="AL70" i="56"/>
  <c r="AK86" i="56" l="1"/>
  <c r="AK87" i="56" s="1"/>
  <c r="AK90" i="56" s="1"/>
  <c r="AK84" i="56"/>
  <c r="AK89" i="56" s="1"/>
  <c r="AK88" i="56"/>
  <c r="AO53" i="56"/>
  <c r="AN55" i="56"/>
  <c r="AL71" i="56"/>
  <c r="AL78" i="56" s="1"/>
  <c r="AL83" i="56" s="1"/>
  <c r="AL72" i="56"/>
  <c r="AM77" i="56"/>
  <c r="AM70" i="56"/>
  <c r="AK72" i="56"/>
  <c r="AL86" i="56" l="1"/>
  <c r="AL87" i="56" s="1"/>
  <c r="AL90" i="56" s="1"/>
  <c r="AL84" i="56"/>
  <c r="AL89" i="56" s="1"/>
  <c r="AL88" i="56"/>
  <c r="AO55" i="56"/>
  <c r="AP53" i="56" s="1"/>
  <c r="AP55" i="56" s="1"/>
  <c r="AM71" i="56"/>
  <c r="AM78" i="56" s="1"/>
  <c r="AM83" i="56" s="1"/>
  <c r="AN82" i="56"/>
  <c r="AN56" i="56"/>
  <c r="AN69" i="56" s="1"/>
  <c r="AM86" i="56" l="1"/>
  <c r="AM87" i="56" s="1"/>
  <c r="AM90" i="56" s="1"/>
  <c r="AM84" i="56"/>
  <c r="AM89" i="56" s="1"/>
  <c r="AM88" i="56"/>
  <c r="AP56" i="56"/>
  <c r="AP69" i="56" s="1"/>
  <c r="AP82" i="56"/>
  <c r="AN77" i="56"/>
  <c r="AN70" i="56"/>
  <c r="AM72" i="56"/>
  <c r="AO56" i="56"/>
  <c r="AO69" i="56" s="1"/>
  <c r="AO82" i="56"/>
  <c r="AP77" i="56" l="1"/>
  <c r="AP70" i="56"/>
  <c r="AN71" i="56"/>
  <c r="AN78" i="56" s="1"/>
  <c r="AN83" i="56" s="1"/>
  <c r="AN72" i="56"/>
  <c r="AO77" i="56"/>
  <c r="AO70" i="56"/>
  <c r="AN86" i="56" l="1"/>
  <c r="AN87" i="56" s="1"/>
  <c r="AN90" i="56" s="1"/>
  <c r="AN84" i="56"/>
  <c r="AN89" i="56" s="1"/>
  <c r="AN88" i="56"/>
  <c r="AO71" i="56"/>
  <c r="AO78" i="56" s="1"/>
  <c r="AO83" i="56" s="1"/>
  <c r="AP71" i="56"/>
  <c r="AO72" i="56" l="1"/>
  <c r="AP78" i="56"/>
  <c r="AP83" i="56" s="1"/>
  <c r="AP86" i="56" s="1"/>
  <c r="AP84" i="56"/>
  <c r="AP72" i="56"/>
  <c r="AO86" i="56"/>
  <c r="AO87" i="56" s="1"/>
  <c r="AO90" i="56" s="1"/>
  <c r="AO88" i="56"/>
  <c r="AO84" i="56"/>
  <c r="AO89" i="56" s="1"/>
  <c r="AP88" i="56" l="1"/>
  <c r="AP89" i="56"/>
  <c r="AP87" i="56"/>
  <c r="AP90" i="56" l="1"/>
  <c r="A101" i="56"/>
  <c r="B102" i="56" s="1"/>
</calcChain>
</file>

<file path=xl/sharedStrings.xml><?xml version="1.0" encoding="utf-8"?>
<sst xmlns="http://schemas.openxmlformats.org/spreadsheetml/2006/main" count="1190" uniqueCount="732">
  <si>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</si>
  <si>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</si>
  <si>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</si>
  <si>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</si>
  <si>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</si>
  <si>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</si>
  <si>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</si>
  <si>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</si>
  <si>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</si>
  <si>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</si>
  <si>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</si>
  <si>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</si>
  <si>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</si>
  <si>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</si>
  <si>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</si>
  <si>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</si>
  <si>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</si>
  <si>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</si>
  <si>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</si>
  <si>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</si>
  <si>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</si>
  <si>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</si>
  <si>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</si>
  <si>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</si>
  <si>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</si>
  <si>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</si>
  <si>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</si>
  <si>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</si>
  <si>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</si>
  <si>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</si>
  <si>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</si>
  <si>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</si>
  <si>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</si>
  <si>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</si>
  <si>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</si>
  <si>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</si>
  <si>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</si>
  <si>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</si>
  <si>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</si>
  <si>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</si>
  <si>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</si>
  <si>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</si>
  <si>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</si>
  <si>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</si>
  <si>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</si>
  <si>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</si>
  <si>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</si>
  <si>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</si>
  <si>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</si>
  <si>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</si>
  <si>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</si>
  <si>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</si>
  <si>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</si>
  <si>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</si>
  <si>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</si>
  <si>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</si>
  <si>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</si>
  <si>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</si>
  <si>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</si>
  <si>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</si>
  <si>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</si>
  <si>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</si>
  <si>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</si>
  <si>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</si>
  <si>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</si>
  <si>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</si>
  <si>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</si>
  <si>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</si>
  <si>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</si>
  <si>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</si>
  <si>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</si>
  <si>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</si>
  <si>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</si>
  <si>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</si>
  <si>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</si>
  <si>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</si>
  <si>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</si>
  <si>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</si>
  <si>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</si>
  <si>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</si>
  <si>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</si>
  <si>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</si>
  <si>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</si>
  <si>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</si>
  <si>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</si>
  <si>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</si>
  <si>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</si>
  <si>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</si>
  <si>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</si>
  <si>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</si>
  <si>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</si>
  <si>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</si>
  <si>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</si>
  <si>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</si>
  <si>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</si>
  <si>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</si>
  <si>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</si>
  <si>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</si>
  <si>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</si>
  <si>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</si>
  <si>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</si>
  <si>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</si>
  <si>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</si>
  <si>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</si>
  <si>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</si>
  <si>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</si>
  <si>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</si>
  <si>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</si>
  <si>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</si>
  <si>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</si>
  <si>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</si>
  <si>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</si>
  <si>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</si>
  <si>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</si>
  <si>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</si>
  <si>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</si>
  <si>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</si>
  <si>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</si>
  <si>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</si>
  <si>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</si>
  <si>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</si>
  <si>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</si>
  <si>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</si>
  <si>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</si>
  <si>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</si>
  <si>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</si>
  <si>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</si>
  <si>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</si>
  <si>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</si>
  <si>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</si>
  <si>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</si>
  <si>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</si>
  <si>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</si>
  <si>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</si>
  <si>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</si>
  <si>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</si>
  <si>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</si>
  <si>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</si>
  <si>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</si>
  <si>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</si>
  <si>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</si>
  <si>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</si>
  <si>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</si>
  <si>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</si>
  <si>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</si>
  <si>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</si>
  <si>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</si>
  <si>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</si>
  <si>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</si>
  <si>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</si>
  <si>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</si>
  <si>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</si>
  <si>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</si>
  <si>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</si>
  <si>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</si>
  <si>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</si>
  <si>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</si>
  <si>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</si>
  <si>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</si>
  <si>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</si>
  <si>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</si>
  <si>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</si>
  <si>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</si>
  <si>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</si>
  <si>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</si>
  <si>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</si>
  <si>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</si>
  <si>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</si>
  <si>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</si>
  <si>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</si>
  <si>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</si>
  <si>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</si>
  <si>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</si>
  <si>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</si>
  <si>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</si>
  <si>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</si>
  <si>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</si>
  <si>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</si>
  <si>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</si>
  <si>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</si>
  <si>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</si>
  <si>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</si>
  <si>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</si>
  <si>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</si>
  <si>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</si>
  <si>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</si>
  <si>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</si>
  <si>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</si>
  <si>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</si>
  <si>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</si>
  <si>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</si>
  <si>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</si>
  <si>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</si>
  <si>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</si>
  <si>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</si>
  <si>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</si>
  <si>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</si>
  <si>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</si>
  <si>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</si>
  <si>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</si>
  <si>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</si>
  <si>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</si>
  <si>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</si>
  <si>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</si>
  <si>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</si>
  <si>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</si>
  <si>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</si>
  <si>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</si>
  <si>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</si>
  <si>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</si>
  <si>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</si>
  <si>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</si>
  <si>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</si>
  <si>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</si>
  <si>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</si>
  <si>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</si>
  <si>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</si>
  <si>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</si>
  <si>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</si>
  <si>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</si>
  <si>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</si>
  <si>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</si>
  <si>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</si>
  <si>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</si>
  <si>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</si>
  <si>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</si>
  <si>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</si>
  <si>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</si>
  <si>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</si>
  <si>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</si>
  <si>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</si>
  <si>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</si>
  <si>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</si>
  <si>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</si>
  <si>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</si>
  <si>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</si>
  <si>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</si>
  <si>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</si>
  <si>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</si>
  <si>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</si>
  <si>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</si>
  <si>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</si>
  <si>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</si>
  <si>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</si>
  <si>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</si>
  <si>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</si>
  <si>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</si>
  <si>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</si>
  <si>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</si>
  <si>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</si>
  <si>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</si>
  <si>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</si>
  <si>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</si>
  <si>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</si>
  <si>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</si>
  <si>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</si>
  <si>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</si>
  <si>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</si>
  <si>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</si>
  <si>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</si>
  <si>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</si>
  <si>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</si>
  <si>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</si>
  <si>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</si>
  <si>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</si>
  <si>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</si>
  <si>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</si>
  <si>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</si>
  <si>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</si>
  <si>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</si>
  <si>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</si>
  <si>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</si>
  <si>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</si>
  <si>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</si>
  <si>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</si>
  <si>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</si>
  <si>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</si>
  <si>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</si>
  <si>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</si>
  <si>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</si>
  <si>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</si>
  <si>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</si>
  <si>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</si>
  <si>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</si>
  <si>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</si>
  <si>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</si>
  <si>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</si>
  <si>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</si>
  <si>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</si>
  <si>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</si>
  <si>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</si>
  <si>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</si>
  <si>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</si>
  <si>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</si>
  <si>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</si>
  <si>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</si>
  <si>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</si>
  <si>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</si>
  <si>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</si>
  <si>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</si>
  <si>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</si>
  <si>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</si>
  <si>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</si>
  <si>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</si>
  <si>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</si>
  <si>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</si>
  <si>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</si>
  <si>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</si>
  <si>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</si>
  <si>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</si>
  <si>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</si>
  <si>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</si>
  <si>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</si>
  <si>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</si>
  <si>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</si>
  <si>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</si>
  <si>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</si>
  <si>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</si>
  <si>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</si>
  <si>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</si>
  <si>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</si>
  <si>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</si>
  <si>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</si>
  <si>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</si>
  <si>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</si>
  <si>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</si>
  <si>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</si>
  <si>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</si>
  <si>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</si>
  <si>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</si>
  <si>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</si>
  <si>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</si>
  <si>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</si>
  <si>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</si>
  <si>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</si>
  <si>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</si>
  <si>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</si>
  <si>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</si>
  <si>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</si>
  <si>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</si>
  <si>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</si>
  <si>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</si>
  <si>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</si>
  <si>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</si>
  <si>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</si>
  <si>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</si>
  <si>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</si>
  <si>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</si>
  <si>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</si>
  <si>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</si>
  <si>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</si>
  <si>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</si>
  <si>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</si>
  <si>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</si>
  <si>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</si>
  <si>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</si>
  <si>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</si>
  <si>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</si>
  <si>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</si>
  <si>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</si>
  <si>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</si>
  <si>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</si>
  <si>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</si>
  <si>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</si>
  <si>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</si>
  <si>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</si>
  <si>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</si>
  <si>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</si>
  <si>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</si>
  <si>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</si>
  <si>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</si>
  <si>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</si>
  <si>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</si>
  <si>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</si>
  <si>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</si>
  <si>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</si>
  <si>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</si>
  <si>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</si>
  <si>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</si>
  <si>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</si>
  <si>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</si>
  <si>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</si>
  <si>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</si>
  <si>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</si>
  <si>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</si>
  <si>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</si>
  <si>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</si>
  <si>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</si>
  <si>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</si>
  <si>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</si>
  <si>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</si>
  <si>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</si>
  <si>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</si>
  <si>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</si>
  <si>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</si>
  <si>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</si>
  <si>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</si>
  <si>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</si>
  <si>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</si>
  <si>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</si>
  <si>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</si>
  <si>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</si>
  <si>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</si>
  <si>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</si>
  <si>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</si>
  <si>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</si>
  <si>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</si>
  <si>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</si>
  <si>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</si>
  <si>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</si>
  <si>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</si>
  <si>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</si>
  <si>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</si>
  <si>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</si>
  <si>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</si>
  <si>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</si>
  <si>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</si>
  <si>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</si>
  <si>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</si>
  <si>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</si>
  <si>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</si>
  <si>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</si>
  <si>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</si>
  <si>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</si>
  <si>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</si>
  <si>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</si>
  <si>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</si>
  <si>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</si>
  <si>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</si>
  <si>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</si>
  <si>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</si>
  <si>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</si>
  <si>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</si>
  <si>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</si>
  <si>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</si>
  <si>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</si>
  <si>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</si>
  <si>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</si>
  <si>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</si>
  <si>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</si>
  <si>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</si>
  <si>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</si>
  <si>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</si>
  <si>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</si>
  <si>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</si>
  <si>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</si>
  <si>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</si>
  <si>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</si>
  <si>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</si>
  <si>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</si>
  <si>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</si>
  <si>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</si>
  <si>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</si>
  <si>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</si>
  <si>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</si>
  <si>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</si>
  <si>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</si>
  <si>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</si>
  <si>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</si>
  <si>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</si>
  <si>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</si>
  <si>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</si>
  <si>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</si>
  <si>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</si>
  <si>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</si>
  <si>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</si>
  <si>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</si>
  <si>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</si>
  <si>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</si>
  <si>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</si>
  <si>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</si>
  <si>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</si>
  <si>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</si>
  <si>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</si>
  <si>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</si>
  <si>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</si>
  <si>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</si>
  <si>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</si>
  <si>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</si>
  <si>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</si>
  <si>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</si>
  <si>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</si>
  <si>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</si>
  <si>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</si>
  <si>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</si>
  <si>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</si>
  <si>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</si>
  <si>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</si>
  <si>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</si>
  <si>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</si>
  <si>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</si>
  <si>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</si>
  <si>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</si>
  <si>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</si>
  <si>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</si>
  <si>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</si>
  <si>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</si>
  <si>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</si>
  <si>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</si>
  <si>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</si>
  <si>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</si>
  <si>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</si>
  <si>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</si>
  <si>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</si>
  <si>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</si>
  <si>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</si>
  <si>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</si>
  <si>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</si>
  <si>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</si>
  <si>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</si>
  <si>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</si>
  <si>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</si>
  <si>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</si>
  <si>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</si>
  <si>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</si>
  <si>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</si>
  <si>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</si>
  <si>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</si>
  <si>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</si>
  <si>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</si>
  <si>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</si>
  <si>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</si>
  <si>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</si>
  <si>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</si>
  <si>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</si>
  <si>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</si>
  <si>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</si>
  <si>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</si>
  <si>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</si>
  <si>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</si>
  <si>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</si>
  <si>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</si>
  <si>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</si>
  <si>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</si>
  <si>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</si>
  <si>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</si>
  <si>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</si>
  <si>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</si>
  <si>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</si>
  <si>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</si>
  <si>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</si>
  <si>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</si>
  <si>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</si>
  <si>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</si>
  <si>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</si>
  <si>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</si>
  <si>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</si>
  <si>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</si>
  <si>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</si>
  <si>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</si>
  <si>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</si>
  <si>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</si>
  <si>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</si>
  <si>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</si>
  <si>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</si>
  <si>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</si>
  <si>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</si>
  <si>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</si>
  <si>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</si>
  <si>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</si>
  <si>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</si>
  <si>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</si>
  <si>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</si>
  <si>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</si>
  <si>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</si>
  <si>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</si>
  <si>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</si>
  <si>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</si>
  <si>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</si>
  <si>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</si>
  <si>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</si>
  <si>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</si>
  <si>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</si>
  <si>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</si>
  <si>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</si>
  <si>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</si>
  <si>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</si>
  <si>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</si>
  <si>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</si>
  <si>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</si>
  <si>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</si>
  <si>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</si>
  <si>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</si>
  <si>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</si>
  <si>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</si>
  <si>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</si>
  <si>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</si>
  <si>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</si>
  <si>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</si>
  <si>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</si>
  <si>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</si>
  <si>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</si>
  <si>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</si>
  <si>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</si>
  <si>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</si>
  <si>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</si>
  <si>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</si>
  <si>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</si>
  <si>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</si>
  <si>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</si>
  <si>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</si>
  <si>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</si>
  <si>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</si>
  <si>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</si>
  <si>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</si>
  <si>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</si>
  <si>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</si>
  <si>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</si>
  <si>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</si>
  <si>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</si>
  <si>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</si>
  <si>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</si>
  <si>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</si>
  <si>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</si>
  <si>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</si>
  <si>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</si>
  <si>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</si>
  <si>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</si>
  <si>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</si>
  <si>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</si>
  <si>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</si>
  <si>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</si>
  <si>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</si>
  <si>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</si>
  <si>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</si>
  <si>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</si>
  <si>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</si>
  <si>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</si>
  <si>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</si>
  <si>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</si>
  <si>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</si>
  <si>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</si>
  <si>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</si>
  <si>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</si>
  <si>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</si>
  <si>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</si>
  <si>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</si>
  <si>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</si>
  <si>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</si>
  <si>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</si>
  <si>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</si>
  <si>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</si>
  <si>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2018 год</t>
  </si>
  <si>
    <t>2019 год</t>
  </si>
  <si>
    <t>нд</t>
  </si>
  <si>
    <t>КЛ</t>
  </si>
  <si>
    <t>предложения по корректировке плана</t>
  </si>
  <si>
    <t>отсутствуют</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</si>
  <si>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</si>
  <si>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</si>
  <si>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</si>
  <si>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</si>
  <si>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</si>
  <si>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</si>
  <si>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</si>
  <si>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</si>
  <si>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</si>
  <si>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</si>
  <si>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</si>
  <si>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</si>
  <si>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</si>
  <si>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</si>
  <si>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</si>
  <si>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</si>
  <si>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</si>
  <si>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</si>
  <si>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</si>
  <si>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</si>
  <si>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</si>
  <si>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</si>
  <si>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Возможно реализовать в установленный срок</t>
  </si>
  <si>
    <t>I_16-0064</t>
  </si>
  <si>
    <t>Реконструкция ЗРУ 15 кВ ПС О-35 "Космодемьяновская" с установкой в резервной ячейке вакуумного выключателя на 2-ой секции 15 кВ (инв.№ 5146310)</t>
  </si>
  <si>
    <t>180/02/07 д/с 3 от 04.10.2011</t>
  </si>
  <si>
    <t>180/02/07 д/с №5 от 07.06.2018</t>
  </si>
  <si>
    <t>Д/с отправлено в архив</t>
  </si>
  <si>
    <t xml:space="preserve">г. Калининград, ПГТ Совхозный, 60 </t>
  </si>
  <si>
    <t>промзона № 3</t>
  </si>
  <si>
    <t>5.1. Высоковольтный вывод выключателя новой ВЛ 15 кВ в ЗРУ 15 кВ ПС О-35 Космодемьянская.</t>
  </si>
  <si>
    <t>15 кВ</t>
  </si>
  <si>
    <t xml:space="preserve">8.1. На ПС 110/15/10 кВ О-35 выполнить замену трансформатора 110/15/10 кВ (Т-1) мощностью 16 МВА на трансформатор 110/15/10 кВ мощностью 25 МВА с РЗ и А и ПА.
8.2. Для присоединения ЛЭП 15 кВ (п.7.3.) на ПС О-35 выполнить установку линейной ячейки и оборудовать: 
8.2.1. Вакуумным выключателем 24 кВ, 630 А.
8.2.2. Трансформаторами напряжения и трансформаторами тока, средствами РЗиА для защиты и автоматики ЛЭП 15 кВ.
8.3. На ПС 110/15/10 кВ О-35 предусмотреть установку КП "Систел".
8.4. Объём работ п о выполнению п.8.1 - п.8.3. определить на стадии разработки технического задания. 
</t>
  </si>
  <si>
    <t>ПС О-35 "Космодемьяновская"</t>
  </si>
  <si>
    <t>ВВ-15 - 1шт.</t>
  </si>
  <si>
    <t>ВВ-15, 630А - 1шт.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</si>
  <si>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</si>
  <si>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</si>
  <si>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реконструкция</t>
  </si>
  <si>
    <t>Сметная стоимость проекта в ценах 2019 года с НДС, млн. руб.</t>
  </si>
  <si>
    <t>ООО "КалининградПромСтройПроект" договор 1313 от 01.11.2018 в ценах 2018 года с НДС, млн. руб.</t>
  </si>
  <si>
    <t>ООО "Такси Европа" договор 878 от 13.08.2017 в ценах 2017 года с НДС, млн. руб.</t>
  </si>
  <si>
    <t>ВЛ 15-240</t>
  </si>
  <si>
    <t>ISM-25-LD1</t>
  </si>
  <si>
    <t>SCI1-20</t>
  </si>
  <si>
    <t>С</t>
  </si>
  <si>
    <t>0,982 млн рублей/выключатель</t>
  </si>
  <si>
    <t>УР</t>
  </si>
  <si>
    <t>ВЗ</t>
  </si>
  <si>
    <t>ОЗП</t>
  </si>
  <si>
    <t xml:space="preserve"> 31705517707 </t>
  </si>
  <si>
    <t>rosseti.ru</t>
  </si>
  <si>
    <t>ПСД, утвержденная приказом 748 от 12.09.2019</t>
  </si>
  <si>
    <t>строительство</t>
  </si>
  <si>
    <t>Реконструкция ЗРУ 15 кВ ПС О-35 "Космодемьяновская" с заменой в ячейке ВЛ 15-240 масляного выключателя SCI1-20 на вакуумный ISM-25-LD1 с модулем управления СМ-16-2, заменой ТТ на ТОЛ-НТЗ-20, установкой ТН ЗНОЛ-НТЗ-20, заменой электро-механического реле на микропроцессорный терминал ТОР 300 Л501</t>
  </si>
  <si>
    <t>не требуется, хозспособ</t>
  </si>
  <si>
    <t>2020</t>
  </si>
  <si>
    <t xml:space="preserve"> по состоянию на 01.01.2020</t>
  </si>
  <si>
    <t>ООО "ТД НТЗВ" договор №935 от 14.08.2019 в ценах 2019 года с НДС, млн. руб.</t>
  </si>
  <si>
    <t>ООО "ТД НТЗВ" договор №935 от 14.08.2019</t>
  </si>
  <si>
    <t>МТРиО</t>
  </si>
  <si>
    <t>Поставка комплектующих для КРУ 6-10 кВ (трансформаторы напряжения, трансформаторы тока, ваккумные выключатели)</t>
  </si>
  <si>
    <t>"Янтарьэнерго" АО ДКС (юр.лица)</t>
  </si>
  <si>
    <t>мониторинг цен</t>
  </si>
  <si>
    <t>"ТД НТЗВ" ООО</t>
  </si>
  <si>
    <t>1о</t>
  </si>
  <si>
    <t>31907990837</t>
  </si>
  <si>
    <t xml:space="preserve">https://rosseti.roseltorg.ru/ </t>
  </si>
  <si>
    <t>"ТЭ СПб" ООО</t>
  </si>
  <si>
    <t>"Электротехснаб" ООО</t>
  </si>
  <si>
    <t>ПИР</t>
  </si>
  <si>
    <t>Разработка рабочей документации по объекту «Реконструкция ЗРУ 15 кВ ПС О-35 "Космодемьянская" с установкой в резервной ячейке вакуумного выключателя на 2-ой секции 15 кВ (инвентарный номер № 5146310)».</t>
  </si>
  <si>
    <t>СЦ</t>
  </si>
  <si>
    <t>ООО"КССП"</t>
  </si>
  <si>
    <t>ООО "СД-проект"</t>
  </si>
  <si>
    <t>ООО "АМ Квадр"</t>
  </si>
  <si>
    <t>ПИР ООО "КалининградПромСтройПроект" договор № 490 от 15.06.2011 в ценазх 2011 года</t>
  </si>
  <si>
    <t>ООО "КалининградПромСтройПроект" договор 1313 от 01.11.2018,  № 490 от 15.06.2011</t>
  </si>
  <si>
    <t>Год раскрытия информации: 2022 год</t>
  </si>
  <si>
    <t xml:space="preserve"> по состоянию на 01.01.2021</t>
  </si>
  <si>
    <t xml:space="preserve">факт 2020 года </t>
  </si>
  <si>
    <t>2021 год</t>
  </si>
  <si>
    <t>2022 год</t>
  </si>
  <si>
    <t>2023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</si>
</sst>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42" fillId="0" borderId="1" xfId="2" applyFont="1" applyFill="1" applyBorder="1" applyAlignment="1">
      <alignment horizontal="center"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0"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11" fillId="0" borderId="0" xfId="62"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36" fillId="0" borderId="46" xfId="1" applyFont="1" applyBorder="1" applyAlignment="1">
      <alignment horizontal="left" vertical="center" wrapText="1"/>
    </xf>
    <xf numFmtId="0" fontId="7" fillId="0" borderId="55" xfId="1" applyFont="1" applyBorder="1" applyAlignment="1">
      <alignment horizontal="left" vertical="center" wrapText="1"/>
    </xf>
    <xf numFmtId="0" fontId="7" fillId="0" borderId="55" xfId="1" applyFont="1" applyFill="1" applyBorder="1" applyAlignment="1">
      <alignment vertical="center" wrapText="1"/>
    </xf>
    <xf numFmtId="0" fontId="3" fillId="0" borderId="55" xfId="1" applyFill="1" applyBorder="1"/>
    <xf numFmtId="0" fontId="7" fillId="0" borderId="55" xfId="1" applyFont="1" applyBorder="1" applyAlignment="1">
      <alignment vertical="center" wrapText="1"/>
    </xf>
    <xf numFmtId="175" fontId="42" fillId="0" borderId="39" xfId="62" applyNumberFormat="1" applyFont="1" applyFill="1" applyBorder="1" applyAlignment="1">
      <alignment horizontal="left" vertical="center" wrapText="1"/>
    </xf>
    <xf numFmtId="0" fontId="7" fillId="0" borderId="55" xfId="1" applyFont="1" applyFill="1" applyBorder="1" applyAlignment="1">
      <alignment horizontal="left" vertical="center" wrapText="1"/>
    </xf>
    <xf numFmtId="14" fontId="40" fillId="0" borderId="35"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7" fillId="0" borderId="0" xfId="49" applyFont="1" applyAlignment="1">
      <alignment wrapText="1"/>
    </xf>
    <xf numFmtId="168" fontId="36" fillId="0" borderId="0" xfId="49" applyNumberFormat="1" applyFont="1"/>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xf numFmtId="177" fontId="11" fillId="0" borderId="0" xfId="2" applyNumberFormat="1" applyFont="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34433240"/>
        <c:axId val="834433632"/>
      </c:lineChart>
      <c:catAx>
        <c:axId val="834433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433632"/>
        <c:crosses val="autoZero"/>
        <c:auto val="1"/>
        <c:lblAlgn val="ctr"/>
        <c:lblOffset val="100"/>
        <c:noMultiLvlLbl val="0"/>
      </c:catAx>
      <c:valAx>
        <c:axId val="834433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4332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C23" sqref="C23"/>
    </sheetView>
  </sheetViews>
  <sheetFormatPr defaultColWidth="9.140625" defaultRowHeight="15" x14ac:dyDescent="0.25"/>
  <cols>
    <col min="1" max="1" width="6.140625" style="300" customWidth="1"/>
    <col min="2" max="2" width="53.5703125" style="300" customWidth="1"/>
    <col min="3" max="3" width="91.42578125" style="300" customWidth="1"/>
    <col min="4" max="4" width="12" style="300" hidden="1"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6" customFormat="1" ht="18.75" customHeight="1" x14ac:dyDescent="0.2">
      <c r="A1" s="281"/>
      <c r="C1" s="282" t="s">
        <v>66</v>
      </c>
    </row>
    <row r="2" spans="1:22" s="16" customFormat="1" ht="18.75" customHeight="1" x14ac:dyDescent="0.3">
      <c r="A2" s="281"/>
      <c r="C2" s="283" t="s">
        <v>8</v>
      </c>
    </row>
    <row r="3" spans="1:22" s="16" customFormat="1" ht="18.75" x14ac:dyDescent="0.3">
      <c r="A3" s="284"/>
      <c r="C3" s="283" t="s">
        <v>65</v>
      </c>
    </row>
    <row r="4" spans="1:22" s="16" customFormat="1" ht="18.75" x14ac:dyDescent="0.3">
      <c r="A4" s="284"/>
      <c r="H4" s="283"/>
    </row>
    <row r="5" spans="1:22" s="16" customFormat="1" ht="15.75" x14ac:dyDescent="0.25">
      <c r="A5" s="412" t="s">
        <v>726</v>
      </c>
      <c r="B5" s="412"/>
      <c r="C5" s="412"/>
      <c r="D5" s="161"/>
      <c r="E5" s="161"/>
      <c r="F5" s="161"/>
      <c r="G5" s="161"/>
      <c r="H5" s="161"/>
      <c r="I5" s="161"/>
      <c r="J5" s="161"/>
    </row>
    <row r="6" spans="1:22" s="16" customFormat="1" ht="18.75" x14ac:dyDescent="0.3">
      <c r="A6" s="284"/>
      <c r="H6" s="283"/>
    </row>
    <row r="7" spans="1:22" s="16" customFormat="1" ht="18.75" x14ac:dyDescent="0.2">
      <c r="A7" s="416" t="s">
        <v>7</v>
      </c>
      <c r="B7" s="416"/>
      <c r="C7" s="416"/>
      <c r="D7" s="285"/>
      <c r="E7" s="285"/>
      <c r="F7" s="285"/>
      <c r="G7" s="285"/>
      <c r="H7" s="285"/>
      <c r="I7" s="285"/>
      <c r="J7" s="285"/>
      <c r="K7" s="285"/>
      <c r="L7" s="285"/>
      <c r="M7" s="285"/>
      <c r="N7" s="285"/>
      <c r="O7" s="285"/>
      <c r="P7" s="285"/>
      <c r="Q7" s="285"/>
      <c r="R7" s="285"/>
      <c r="S7" s="285"/>
      <c r="T7" s="285"/>
      <c r="U7" s="285"/>
      <c r="V7" s="285"/>
    </row>
    <row r="8" spans="1:22" s="16"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6" customFormat="1" ht="18.75" x14ac:dyDescent="0.2">
      <c r="A9" s="417" t="s">
        <v>572</v>
      </c>
      <c r="B9" s="417"/>
      <c r="C9" s="417"/>
      <c r="D9" s="287"/>
      <c r="E9" s="287"/>
      <c r="F9" s="287"/>
      <c r="G9" s="287"/>
      <c r="H9" s="287"/>
      <c r="I9" s="285"/>
      <c r="J9" s="285"/>
      <c r="K9" s="285"/>
      <c r="L9" s="285"/>
      <c r="M9" s="285"/>
      <c r="N9" s="285"/>
      <c r="O9" s="285"/>
      <c r="P9" s="285"/>
      <c r="Q9" s="285"/>
      <c r="R9" s="285"/>
      <c r="S9" s="285"/>
      <c r="T9" s="285"/>
      <c r="U9" s="285"/>
      <c r="V9" s="285"/>
    </row>
    <row r="10" spans="1:22" s="16" customFormat="1" ht="18.75" x14ac:dyDescent="0.2">
      <c r="A10" s="413" t="s">
        <v>6</v>
      </c>
      <c r="B10" s="413"/>
      <c r="C10" s="413"/>
      <c r="D10" s="288"/>
      <c r="E10" s="288"/>
      <c r="F10" s="288"/>
      <c r="G10" s="288"/>
      <c r="H10" s="288"/>
      <c r="I10" s="285"/>
      <c r="J10" s="285"/>
      <c r="K10" s="285"/>
      <c r="L10" s="285"/>
      <c r="M10" s="285"/>
      <c r="N10" s="285"/>
      <c r="O10" s="285"/>
      <c r="P10" s="285"/>
      <c r="Q10" s="285"/>
      <c r="R10" s="285"/>
      <c r="S10" s="285"/>
      <c r="T10" s="285"/>
      <c r="U10" s="285"/>
      <c r="V10" s="285"/>
    </row>
    <row r="11" spans="1:22" s="16"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6" customFormat="1" ht="18.75" x14ac:dyDescent="0.2">
      <c r="A12" s="415" t="s">
        <v>671</v>
      </c>
      <c r="B12" s="415"/>
      <c r="C12" s="415"/>
      <c r="D12" s="287"/>
      <c r="E12" s="287"/>
      <c r="F12" s="287"/>
      <c r="G12" s="287"/>
      <c r="H12" s="287"/>
      <c r="I12" s="285"/>
      <c r="J12" s="285"/>
      <c r="K12" s="285"/>
      <c r="L12" s="285"/>
      <c r="M12" s="285"/>
      <c r="N12" s="285"/>
      <c r="O12" s="285"/>
      <c r="P12" s="285"/>
      <c r="Q12" s="285"/>
      <c r="R12" s="285"/>
      <c r="S12" s="285"/>
      <c r="T12" s="285"/>
      <c r="U12" s="285"/>
      <c r="V12" s="285"/>
    </row>
    <row r="13" spans="1:22" s="16" customFormat="1" ht="18.75" x14ac:dyDescent="0.2">
      <c r="A13" s="413" t="s">
        <v>5</v>
      </c>
      <c r="B13" s="413"/>
      <c r="C13" s="413"/>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39" customHeight="1" x14ac:dyDescent="0.2">
      <c r="A15" s="418" t="s">
        <v>672</v>
      </c>
      <c r="B15" s="419"/>
      <c r="C15" s="419"/>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13" t="s">
        <v>4</v>
      </c>
      <c r="B16" s="413"/>
      <c r="C16" s="413"/>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14" t="s">
        <v>511</v>
      </c>
      <c r="B18" s="415"/>
      <c r="C18" s="415"/>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5"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8" t="s">
        <v>62</v>
      </c>
      <c r="B22" s="297" t="s">
        <v>347</v>
      </c>
      <c r="C22" s="158" t="s">
        <v>587</v>
      </c>
      <c r="D22" s="295" t="s">
        <v>583</v>
      </c>
      <c r="E22" s="295"/>
      <c r="F22" s="295"/>
      <c r="G22" s="295"/>
      <c r="H22" s="295"/>
      <c r="I22" s="279"/>
      <c r="J22" s="279"/>
      <c r="K22" s="279"/>
      <c r="L22" s="279"/>
      <c r="M22" s="279"/>
      <c r="N22" s="279"/>
      <c r="O22" s="279"/>
      <c r="P22" s="279"/>
      <c r="Q22" s="279"/>
      <c r="R22" s="279"/>
      <c r="S22" s="279"/>
      <c r="T22" s="296"/>
      <c r="U22" s="296"/>
      <c r="V22" s="296"/>
    </row>
    <row r="23" spans="1:22" s="290" customFormat="1" ht="78.75" x14ac:dyDescent="0.2">
      <c r="A23" s="28" t="s">
        <v>61</v>
      </c>
      <c r="B23" s="36" t="s">
        <v>624</v>
      </c>
      <c r="C23" s="387" t="s">
        <v>684</v>
      </c>
      <c r="D23" s="295" t="s">
        <v>573</v>
      </c>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09"/>
      <c r="B24" s="410"/>
      <c r="C24" s="411"/>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8" t="s">
        <v>60</v>
      </c>
      <c r="B25" s="158" t="s">
        <v>460</v>
      </c>
      <c r="C25" s="35" t="s">
        <v>644</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8" t="s">
        <v>59</v>
      </c>
      <c r="B26" s="158" t="s">
        <v>72</v>
      </c>
      <c r="C26" s="35"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8" t="s">
        <v>57</v>
      </c>
      <c r="B27" s="158" t="s">
        <v>71</v>
      </c>
      <c r="C27" s="298" t="s">
        <v>659</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8" t="s">
        <v>56</v>
      </c>
      <c r="B28" s="158" t="s">
        <v>461</v>
      </c>
      <c r="C28" s="35" t="s">
        <v>531</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8" t="s">
        <v>54</v>
      </c>
      <c r="B29" s="158" t="s">
        <v>462</v>
      </c>
      <c r="C29" s="35" t="s">
        <v>531</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8" t="s">
        <v>52</v>
      </c>
      <c r="B30" s="158" t="s">
        <v>463</v>
      </c>
      <c r="C30" s="35" t="s">
        <v>531</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8" t="s">
        <v>70</v>
      </c>
      <c r="B31" s="158" t="s">
        <v>464</v>
      </c>
      <c r="C31" s="35" t="s">
        <v>531</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8" t="s">
        <v>68</v>
      </c>
      <c r="B32" s="158" t="s">
        <v>465</v>
      </c>
      <c r="C32" s="35" t="s">
        <v>531</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8" t="s">
        <v>67</v>
      </c>
      <c r="B33" s="158" t="s">
        <v>466</v>
      </c>
      <c r="C33" s="382" t="s">
        <v>685</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8" t="s">
        <v>480</v>
      </c>
      <c r="B34" s="158" t="s">
        <v>467</v>
      </c>
      <c r="C34" s="383" t="s">
        <v>531</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8" t="s">
        <v>470</v>
      </c>
      <c r="B35" s="158" t="s">
        <v>69</v>
      </c>
      <c r="C35" s="35" t="s">
        <v>632</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8" t="s">
        <v>481</v>
      </c>
      <c r="B36" s="158" t="s">
        <v>468</v>
      </c>
      <c r="C36" s="35" t="s">
        <v>531</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8" t="s">
        <v>471</v>
      </c>
      <c r="B37" s="158" t="s">
        <v>469</v>
      </c>
      <c r="C37" s="35" t="s">
        <v>532</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8" t="s">
        <v>482</v>
      </c>
      <c r="B38" s="158" t="s">
        <v>228</v>
      </c>
      <c r="C38" s="35" t="s">
        <v>632</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09"/>
      <c r="B39" s="410"/>
      <c r="C39" s="411"/>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8" t="s">
        <v>472</v>
      </c>
      <c r="B40" s="158" t="s">
        <v>524</v>
      </c>
      <c r="C40" s="384" t="str">
        <f>CONCATENATE("SТПпотр=",'2. паспорт  ТП'!H23," МВт; Nсд_тпр=",'2. паспорт  ТП'!A22," договор; Фтз=",ROUND('5. анализ эконом эфф'!B122,2)," млн.руб.")</f>
        <v>SТПпотр=2,05 МВт; Nсд_тпр=1 договор; Фтз=1,52 млн.руб.</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8" t="s">
        <v>483</v>
      </c>
      <c r="B41" s="158" t="s">
        <v>506</v>
      </c>
      <c r="C41" s="301" t="s">
        <v>633</v>
      </c>
      <c r="D41" s="299" t="s">
        <v>640</v>
      </c>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8" t="s">
        <v>473</v>
      </c>
      <c r="B42" s="158" t="s">
        <v>521</v>
      </c>
      <c r="C42" s="301" t="s">
        <v>633</v>
      </c>
      <c r="D42" s="299" t="s">
        <v>640</v>
      </c>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8" t="s">
        <v>486</v>
      </c>
      <c r="B43" s="158" t="s">
        <v>487</v>
      </c>
      <c r="C43" s="301" t="s">
        <v>644</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8" t="s">
        <v>474</v>
      </c>
      <c r="B44" s="158" t="s">
        <v>512</v>
      </c>
      <c r="C44" s="301" t="s">
        <v>644</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8" t="s">
        <v>507</v>
      </c>
      <c r="B45" s="158" t="s">
        <v>513</v>
      </c>
      <c r="C45" s="301" t="s">
        <v>644</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8" t="s">
        <v>475</v>
      </c>
      <c r="B46" s="158" t="s">
        <v>514</v>
      </c>
      <c r="C46" s="301" t="s">
        <v>644</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09"/>
      <c r="B47" s="410"/>
      <c r="C47" s="411"/>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8" t="s">
        <v>508</v>
      </c>
      <c r="B48" s="158" t="s">
        <v>522</v>
      </c>
      <c r="C48" s="302" t="str">
        <f>CONCATENATE(ROUND('6.2. Паспорт фин осв ввод'!AC24,2)," млн.руб.")</f>
        <v>-0,21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8" t="s">
        <v>476</v>
      </c>
      <c r="B49" s="158" t="s">
        <v>523</v>
      </c>
      <c r="C49" s="302" t="str">
        <f>CONCATENATE(ROUND('6.2. Паспорт фин осв ввод'!AC30,2)," млн.руб.")</f>
        <v>-0,21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AE52" sqref="AE52"/>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8.5703125" style="61" hidden="1" customWidth="1"/>
    <col min="12" max="13" width="6.7109375" style="60" hidden="1" customWidth="1"/>
    <col min="14" max="14" width="7.28515625" style="60" hidden="1" customWidth="1"/>
    <col min="15" max="15" width="6.7109375" style="60" hidden="1" customWidth="1"/>
    <col min="16" max="27" width="10.57031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AC1" s="39" t="s">
        <v>66</v>
      </c>
    </row>
    <row r="2" spans="1:29" ht="18.75" x14ac:dyDescent="0.3">
      <c r="A2" s="61"/>
      <c r="B2" s="61"/>
      <c r="C2" s="61"/>
      <c r="D2" s="61"/>
      <c r="E2" s="61"/>
      <c r="F2" s="61"/>
      <c r="L2" s="61"/>
      <c r="M2" s="61"/>
      <c r="AC2" s="15" t="s">
        <v>8</v>
      </c>
    </row>
    <row r="3" spans="1:29" ht="18.75" x14ac:dyDescent="0.3">
      <c r="A3" s="61"/>
      <c r="B3" s="61"/>
      <c r="C3" s="61"/>
      <c r="D3" s="61"/>
      <c r="E3" s="61"/>
      <c r="F3" s="61"/>
      <c r="L3" s="61"/>
      <c r="M3" s="61"/>
      <c r="AC3" s="15" t="s">
        <v>65</v>
      </c>
    </row>
    <row r="4" spans="1:29" ht="18.75" customHeight="1" x14ac:dyDescent="0.25">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61"/>
      <c r="B5" s="61"/>
      <c r="C5" s="61"/>
      <c r="D5" s="61"/>
      <c r="E5" s="61"/>
      <c r="F5" s="61"/>
      <c r="L5" s="61"/>
      <c r="M5" s="61"/>
      <c r="AC5" s="15"/>
    </row>
    <row r="6" spans="1:29" ht="18.75" x14ac:dyDescent="0.25">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20" t="str">
        <f>'1. паспорт местоположение'!A12:C12</f>
        <v>I_16-0064</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20"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row>
    <row r="15" spans="1:29"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500" t="s">
        <v>496</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497" t="s">
        <v>184</v>
      </c>
      <c r="B20" s="497" t="s">
        <v>183</v>
      </c>
      <c r="C20" s="484" t="s">
        <v>182</v>
      </c>
      <c r="D20" s="484"/>
      <c r="E20" s="499" t="s">
        <v>181</v>
      </c>
      <c r="F20" s="499"/>
      <c r="G20" s="497" t="s">
        <v>728</v>
      </c>
      <c r="H20" s="494" t="s">
        <v>642</v>
      </c>
      <c r="I20" s="495"/>
      <c r="J20" s="495"/>
      <c r="K20" s="495"/>
      <c r="L20" s="494" t="s">
        <v>643</v>
      </c>
      <c r="M20" s="495"/>
      <c r="N20" s="495"/>
      <c r="O20" s="495"/>
      <c r="P20" s="494" t="s">
        <v>729</v>
      </c>
      <c r="Q20" s="495"/>
      <c r="R20" s="495"/>
      <c r="S20" s="495"/>
      <c r="T20" s="494" t="s">
        <v>730</v>
      </c>
      <c r="U20" s="495"/>
      <c r="V20" s="495"/>
      <c r="W20" s="495"/>
      <c r="X20" s="494" t="s">
        <v>731</v>
      </c>
      <c r="Y20" s="495"/>
      <c r="Z20" s="495"/>
      <c r="AA20" s="495"/>
      <c r="AB20" s="501" t="s">
        <v>180</v>
      </c>
      <c r="AC20" s="502"/>
      <c r="AD20" s="82"/>
      <c r="AE20" s="82"/>
      <c r="AF20" s="82"/>
    </row>
    <row r="21" spans="1:32" ht="99.75" customHeight="1" x14ac:dyDescent="0.25">
      <c r="A21" s="498"/>
      <c r="B21" s="498"/>
      <c r="C21" s="484"/>
      <c r="D21" s="484"/>
      <c r="E21" s="499"/>
      <c r="F21" s="499"/>
      <c r="G21" s="498"/>
      <c r="H21" s="484" t="s">
        <v>2</v>
      </c>
      <c r="I21" s="484"/>
      <c r="J21" s="484" t="s">
        <v>641</v>
      </c>
      <c r="K21" s="484"/>
      <c r="L21" s="484" t="s">
        <v>2</v>
      </c>
      <c r="M21" s="484"/>
      <c r="N21" s="484" t="s">
        <v>641</v>
      </c>
      <c r="O21" s="484"/>
      <c r="P21" s="484" t="s">
        <v>2</v>
      </c>
      <c r="Q21" s="484"/>
      <c r="R21" s="484" t="s">
        <v>641</v>
      </c>
      <c r="S21" s="484"/>
      <c r="T21" s="484" t="s">
        <v>2</v>
      </c>
      <c r="U21" s="484"/>
      <c r="V21" s="484" t="s">
        <v>641</v>
      </c>
      <c r="W21" s="484"/>
      <c r="X21" s="484" t="s">
        <v>2</v>
      </c>
      <c r="Y21" s="484"/>
      <c r="Z21" s="484" t="s">
        <v>641</v>
      </c>
      <c r="AA21" s="484"/>
      <c r="AB21" s="503"/>
      <c r="AC21" s="504"/>
    </row>
    <row r="22" spans="1:32" ht="89.25" customHeight="1" x14ac:dyDescent="0.25">
      <c r="A22" s="491"/>
      <c r="B22" s="491"/>
      <c r="C22" s="79" t="s">
        <v>2</v>
      </c>
      <c r="D22" s="79" t="s">
        <v>179</v>
      </c>
      <c r="E22" s="81" t="s">
        <v>705</v>
      </c>
      <c r="F22" s="81" t="s">
        <v>727</v>
      </c>
      <c r="G22" s="491"/>
      <c r="H22" s="80" t="s">
        <v>477</v>
      </c>
      <c r="I22" s="80" t="s">
        <v>478</v>
      </c>
      <c r="J22" s="80" t="s">
        <v>477</v>
      </c>
      <c r="K22" s="80" t="s">
        <v>478</v>
      </c>
      <c r="L22" s="408" t="s">
        <v>477</v>
      </c>
      <c r="M22" s="408" t="s">
        <v>478</v>
      </c>
      <c r="N22" s="408" t="s">
        <v>477</v>
      </c>
      <c r="O22" s="408" t="s">
        <v>478</v>
      </c>
      <c r="P22" s="80" t="s">
        <v>477</v>
      </c>
      <c r="Q22" s="80" t="s">
        <v>478</v>
      </c>
      <c r="R22" s="80" t="s">
        <v>477</v>
      </c>
      <c r="S22" s="80" t="s">
        <v>478</v>
      </c>
      <c r="T22" s="169" t="s">
        <v>477</v>
      </c>
      <c r="U22" s="169" t="s">
        <v>478</v>
      </c>
      <c r="V22" s="169" t="s">
        <v>477</v>
      </c>
      <c r="W22" s="169" t="s">
        <v>478</v>
      </c>
      <c r="X22" s="169" t="s">
        <v>477</v>
      </c>
      <c r="Y22" s="169" t="s">
        <v>478</v>
      </c>
      <c r="Z22" s="169" t="s">
        <v>477</v>
      </c>
      <c r="AA22" s="169" t="s">
        <v>478</v>
      </c>
      <c r="AB22" s="79" t="s">
        <v>2</v>
      </c>
      <c r="AC22" s="270" t="s">
        <v>9</v>
      </c>
    </row>
    <row r="23" spans="1:32" ht="19.5" customHeight="1" x14ac:dyDescent="0.25">
      <c r="A23" s="72">
        <v>1</v>
      </c>
      <c r="B23" s="72">
        <v>2</v>
      </c>
      <c r="C23" s="72">
        <v>3</v>
      </c>
      <c r="D23" s="72">
        <v>4</v>
      </c>
      <c r="E23" s="72">
        <v>5</v>
      </c>
      <c r="F23" s="72">
        <v>6</v>
      </c>
      <c r="G23" s="153">
        <v>7</v>
      </c>
      <c r="H23" s="407">
        <v>16</v>
      </c>
      <c r="I23" s="407">
        <v>17</v>
      </c>
      <c r="J23" s="407">
        <v>18</v>
      </c>
      <c r="K23" s="407">
        <v>19</v>
      </c>
      <c r="L23" s="407">
        <f>K23+1</f>
        <v>20</v>
      </c>
      <c r="M23" s="407">
        <f t="shared" ref="M23" si="0">L23+1</f>
        <v>21</v>
      </c>
      <c r="N23" s="407">
        <f t="shared" ref="N23" si="1">M23+1</f>
        <v>22</v>
      </c>
      <c r="O23" s="407">
        <f t="shared" ref="O23" si="2">N23+1</f>
        <v>23</v>
      </c>
      <c r="P23" s="153">
        <v>16</v>
      </c>
      <c r="Q23" s="153">
        <v>17</v>
      </c>
      <c r="R23" s="153">
        <v>18</v>
      </c>
      <c r="S23" s="153">
        <v>19</v>
      </c>
      <c r="T23" s="168">
        <f>S23+1</f>
        <v>20</v>
      </c>
      <c r="U23" s="168">
        <f t="shared" ref="U23:AA23" si="3">T23+1</f>
        <v>21</v>
      </c>
      <c r="V23" s="168">
        <f t="shared" si="3"/>
        <v>22</v>
      </c>
      <c r="W23" s="168">
        <f t="shared" si="3"/>
        <v>23</v>
      </c>
      <c r="X23" s="168">
        <f t="shared" si="3"/>
        <v>24</v>
      </c>
      <c r="Y23" s="168">
        <f t="shared" si="3"/>
        <v>25</v>
      </c>
      <c r="Z23" s="168">
        <f t="shared" si="3"/>
        <v>26</v>
      </c>
      <c r="AA23" s="168">
        <f t="shared" si="3"/>
        <v>27</v>
      </c>
      <c r="AB23" s="303">
        <f t="shared" ref="AB23" si="4">AA23+1</f>
        <v>28</v>
      </c>
      <c r="AC23" s="303">
        <f t="shared" ref="AC23" si="5">AB23+1</f>
        <v>29</v>
      </c>
    </row>
    <row r="24" spans="1:32" ht="47.25" customHeight="1" x14ac:dyDescent="0.25">
      <c r="A24" s="77">
        <v>1</v>
      </c>
      <c r="B24" s="76" t="s">
        <v>178</v>
      </c>
      <c r="C24" s="271">
        <f>SUM(C25:C29)</f>
        <v>0</v>
      </c>
      <c r="D24" s="271">
        <f t="shared" ref="D24:AA24" si="6">SUM(D25:D29)</f>
        <v>0</v>
      </c>
      <c r="E24" s="271">
        <f t="shared" si="6"/>
        <v>0</v>
      </c>
      <c r="F24" s="271">
        <f t="shared" si="6"/>
        <v>0</v>
      </c>
      <c r="G24" s="271">
        <f t="shared" ref="G24" si="7">SUM(G25:G29)</f>
        <v>1.6046904</v>
      </c>
      <c r="H24" s="271">
        <f t="shared" ref="H24:W24" si="8">SUM(H25:H29)</f>
        <v>0</v>
      </c>
      <c r="I24" s="271">
        <f t="shared" si="8"/>
        <v>0</v>
      </c>
      <c r="J24" s="271">
        <f t="shared" si="8"/>
        <v>8.9999999999999998E-4</v>
      </c>
      <c r="K24" s="271">
        <f t="shared" si="8"/>
        <v>0</v>
      </c>
      <c r="L24" s="271">
        <f t="shared" si="8"/>
        <v>0</v>
      </c>
      <c r="M24" s="271">
        <f t="shared" si="8"/>
        <v>0</v>
      </c>
      <c r="N24" s="271">
        <f t="shared" si="8"/>
        <v>1.4745227999999999E-2</v>
      </c>
      <c r="O24" s="271">
        <f t="shared" si="8"/>
        <v>0</v>
      </c>
      <c r="P24" s="271">
        <f t="shared" si="8"/>
        <v>0</v>
      </c>
      <c r="Q24" s="271">
        <f t="shared" si="8"/>
        <v>0</v>
      </c>
      <c r="R24" s="271">
        <f t="shared" si="8"/>
        <v>-0.21360000000000001</v>
      </c>
      <c r="S24" s="271">
        <f t="shared" si="8"/>
        <v>-0.21360000000000001</v>
      </c>
      <c r="T24" s="271">
        <f t="shared" si="8"/>
        <v>0</v>
      </c>
      <c r="U24" s="271">
        <f t="shared" si="8"/>
        <v>0</v>
      </c>
      <c r="V24" s="271">
        <f t="shared" si="8"/>
        <v>0</v>
      </c>
      <c r="W24" s="271">
        <f t="shared" si="8"/>
        <v>0</v>
      </c>
      <c r="X24" s="271">
        <f t="shared" si="6"/>
        <v>0</v>
      </c>
      <c r="Y24" s="271">
        <f t="shared" ref="Y24:AA24" si="9">SUM(Y25:Y29)</f>
        <v>0</v>
      </c>
      <c r="Z24" s="271">
        <f t="shared" si="9"/>
        <v>0</v>
      </c>
      <c r="AA24" s="271">
        <f t="shared" si="9"/>
        <v>0</v>
      </c>
      <c r="AB24" s="271">
        <f>P24+T24+X24</f>
        <v>0</v>
      </c>
      <c r="AC24" s="277">
        <f>R24+V24+Z24</f>
        <v>-0.21360000000000001</v>
      </c>
      <c r="AE24" s="542">
        <f>G24+J24+N24+AC24</f>
        <v>1.4067356279999998</v>
      </c>
    </row>
    <row r="25" spans="1:32" ht="24" customHeight="1" x14ac:dyDescent="0.25">
      <c r="A25" s="74" t="s">
        <v>177</v>
      </c>
      <c r="B25" s="48"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2">
        <v>0</v>
      </c>
      <c r="U25" s="272">
        <v>0</v>
      </c>
      <c r="V25" s="272">
        <v>0</v>
      </c>
      <c r="W25" s="272">
        <v>0</v>
      </c>
      <c r="X25" s="272">
        <v>0</v>
      </c>
      <c r="Y25" s="272">
        <v>0</v>
      </c>
      <c r="Z25" s="272">
        <v>0</v>
      </c>
      <c r="AA25" s="272">
        <v>0</v>
      </c>
      <c r="AB25" s="271">
        <f t="shared" ref="AB25:AB64" si="10">P25+T25+X25</f>
        <v>0</v>
      </c>
      <c r="AC25" s="277">
        <f t="shared" ref="AC25:AC64" si="11">R25+V25+Z25</f>
        <v>0</v>
      </c>
    </row>
    <row r="26" spans="1:32" x14ac:dyDescent="0.25">
      <c r="A26" s="74" t="s">
        <v>175</v>
      </c>
      <c r="B26" s="48"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2">
        <v>0</v>
      </c>
      <c r="U26" s="272">
        <v>0</v>
      </c>
      <c r="V26" s="272">
        <v>0</v>
      </c>
      <c r="W26" s="272">
        <v>0</v>
      </c>
      <c r="X26" s="272">
        <v>0</v>
      </c>
      <c r="Y26" s="272">
        <v>0</v>
      </c>
      <c r="Z26" s="272">
        <v>0</v>
      </c>
      <c r="AA26" s="272">
        <v>0</v>
      </c>
      <c r="AB26" s="271">
        <f t="shared" si="10"/>
        <v>0</v>
      </c>
      <c r="AC26" s="277">
        <f t="shared" si="11"/>
        <v>0</v>
      </c>
    </row>
    <row r="27" spans="1:32" ht="31.5" x14ac:dyDescent="0.25">
      <c r="A27" s="74" t="s">
        <v>173</v>
      </c>
      <c r="B27" s="48" t="s">
        <v>433</v>
      </c>
      <c r="C27" s="271">
        <v>0</v>
      </c>
      <c r="D27" s="271">
        <v>0</v>
      </c>
      <c r="E27" s="272">
        <v>0</v>
      </c>
      <c r="F27" s="272">
        <v>0</v>
      </c>
      <c r="G27" s="272">
        <v>1.6046904</v>
      </c>
      <c r="H27" s="272">
        <v>0</v>
      </c>
      <c r="I27" s="272">
        <v>0</v>
      </c>
      <c r="J27" s="272">
        <v>8.9999999999999998E-4</v>
      </c>
      <c r="K27" s="272">
        <v>0</v>
      </c>
      <c r="L27" s="272">
        <v>0</v>
      </c>
      <c r="M27" s="272">
        <v>0</v>
      </c>
      <c r="N27" s="272">
        <v>1.4745227999999999E-2</v>
      </c>
      <c r="O27" s="272">
        <v>0</v>
      </c>
      <c r="P27" s="272">
        <v>0</v>
      </c>
      <c r="Q27" s="272">
        <v>0</v>
      </c>
      <c r="R27" s="272">
        <v>-0.21360000000000001</v>
      </c>
      <c r="S27" s="272">
        <v>-0.21360000000000001</v>
      </c>
      <c r="T27" s="272">
        <v>0</v>
      </c>
      <c r="U27" s="272">
        <v>0</v>
      </c>
      <c r="V27" s="272">
        <v>0</v>
      </c>
      <c r="W27" s="272">
        <v>0</v>
      </c>
      <c r="X27" s="272">
        <v>0</v>
      </c>
      <c r="Y27" s="272">
        <v>0</v>
      </c>
      <c r="Z27" s="272">
        <v>0</v>
      </c>
      <c r="AA27" s="272">
        <v>0</v>
      </c>
      <c r="AB27" s="271">
        <f t="shared" si="10"/>
        <v>0</v>
      </c>
      <c r="AC27" s="277">
        <f t="shared" si="11"/>
        <v>-0.21360000000000001</v>
      </c>
    </row>
    <row r="28" spans="1:32" x14ac:dyDescent="0.25">
      <c r="A28" s="74" t="s">
        <v>172</v>
      </c>
      <c r="B28" s="48" t="s">
        <v>171</v>
      </c>
      <c r="C28" s="271">
        <v>0</v>
      </c>
      <c r="D28" s="271">
        <v>0</v>
      </c>
      <c r="E28" s="272">
        <v>0</v>
      </c>
      <c r="F28" s="272">
        <v>0</v>
      </c>
      <c r="G28" s="272">
        <v>0</v>
      </c>
      <c r="H28" s="272">
        <v>0</v>
      </c>
      <c r="I28" s="272">
        <v>0</v>
      </c>
      <c r="J28" s="272">
        <v>0</v>
      </c>
      <c r="K28" s="272">
        <v>0</v>
      </c>
      <c r="L28" s="272">
        <v>0</v>
      </c>
      <c r="M28" s="272">
        <v>0</v>
      </c>
      <c r="N28" s="272">
        <v>0</v>
      </c>
      <c r="O28" s="272">
        <v>0</v>
      </c>
      <c r="P28" s="272">
        <v>0</v>
      </c>
      <c r="Q28" s="272">
        <v>0</v>
      </c>
      <c r="R28" s="272">
        <v>0</v>
      </c>
      <c r="S28" s="272">
        <v>0</v>
      </c>
      <c r="T28" s="272">
        <v>0</v>
      </c>
      <c r="U28" s="272">
        <v>0</v>
      </c>
      <c r="V28" s="272">
        <v>0</v>
      </c>
      <c r="W28" s="272">
        <v>0</v>
      </c>
      <c r="X28" s="272">
        <v>0</v>
      </c>
      <c r="Y28" s="272">
        <v>0</v>
      </c>
      <c r="Z28" s="272">
        <v>0</v>
      </c>
      <c r="AA28" s="272">
        <v>0</v>
      </c>
      <c r="AB28" s="271">
        <f t="shared" si="10"/>
        <v>0</v>
      </c>
      <c r="AC28" s="277">
        <f t="shared" si="11"/>
        <v>0</v>
      </c>
    </row>
    <row r="29" spans="1:32" x14ac:dyDescent="0.25">
      <c r="A29" s="74" t="s">
        <v>170</v>
      </c>
      <c r="B29" s="78" t="s">
        <v>169</v>
      </c>
      <c r="C29" s="271">
        <v>0</v>
      </c>
      <c r="D29" s="271">
        <v>0</v>
      </c>
      <c r="E29" s="272">
        <v>0</v>
      </c>
      <c r="F29" s="272">
        <v>0</v>
      </c>
      <c r="G29" s="272">
        <v>0</v>
      </c>
      <c r="H29" s="272">
        <v>0</v>
      </c>
      <c r="I29" s="272">
        <v>0</v>
      </c>
      <c r="J29" s="272">
        <v>0</v>
      </c>
      <c r="K29" s="272">
        <v>0</v>
      </c>
      <c r="L29" s="272">
        <v>0</v>
      </c>
      <c r="M29" s="272">
        <v>0</v>
      </c>
      <c r="N29" s="272">
        <v>0</v>
      </c>
      <c r="O29" s="272">
        <v>0</v>
      </c>
      <c r="P29" s="272">
        <v>0</v>
      </c>
      <c r="Q29" s="272">
        <v>0</v>
      </c>
      <c r="R29" s="272">
        <v>0</v>
      </c>
      <c r="S29" s="272">
        <v>0</v>
      </c>
      <c r="T29" s="272">
        <v>0</v>
      </c>
      <c r="U29" s="272">
        <v>0</v>
      </c>
      <c r="V29" s="272">
        <v>0</v>
      </c>
      <c r="W29" s="272">
        <v>0</v>
      </c>
      <c r="X29" s="272">
        <v>0</v>
      </c>
      <c r="Y29" s="272">
        <v>0</v>
      </c>
      <c r="Z29" s="272">
        <v>0</v>
      </c>
      <c r="AA29" s="272">
        <v>0</v>
      </c>
      <c r="AB29" s="271">
        <f t="shared" si="10"/>
        <v>0</v>
      </c>
      <c r="AC29" s="277">
        <f t="shared" si="11"/>
        <v>0</v>
      </c>
    </row>
    <row r="30" spans="1:32" ht="47.25" x14ac:dyDescent="0.25">
      <c r="A30" s="77" t="s">
        <v>61</v>
      </c>
      <c r="B30" s="76" t="s">
        <v>168</v>
      </c>
      <c r="C30" s="271">
        <v>0</v>
      </c>
      <c r="D30" s="271">
        <v>0</v>
      </c>
      <c r="E30" s="274">
        <v>0</v>
      </c>
      <c r="F30" s="274">
        <v>0</v>
      </c>
      <c r="G30" s="271">
        <v>0.90264200000000006</v>
      </c>
      <c r="H30" s="271">
        <f t="shared" ref="H30:W30" si="12">SUM(H31:H34)</f>
        <v>0</v>
      </c>
      <c r="I30" s="271">
        <f t="shared" si="12"/>
        <v>0</v>
      </c>
      <c r="J30" s="271">
        <f t="shared" si="12"/>
        <v>8.9999999999999998E-4</v>
      </c>
      <c r="K30" s="271">
        <f t="shared" si="12"/>
        <v>0</v>
      </c>
      <c r="L30" s="271">
        <f t="shared" si="12"/>
        <v>0</v>
      </c>
      <c r="M30" s="271">
        <f t="shared" si="12"/>
        <v>0</v>
      </c>
      <c r="N30" s="271">
        <f t="shared" si="12"/>
        <v>0.60188768999999998</v>
      </c>
      <c r="O30" s="271">
        <f t="shared" si="12"/>
        <v>0</v>
      </c>
      <c r="P30" s="271">
        <f t="shared" si="12"/>
        <v>0</v>
      </c>
      <c r="Q30" s="271">
        <f t="shared" si="12"/>
        <v>0</v>
      </c>
      <c r="R30" s="271">
        <f t="shared" si="12"/>
        <v>-0.21360000000000001</v>
      </c>
      <c r="S30" s="271">
        <f t="shared" si="12"/>
        <v>-0.21360000000000001</v>
      </c>
      <c r="T30" s="271">
        <f t="shared" si="12"/>
        <v>0</v>
      </c>
      <c r="U30" s="271">
        <f t="shared" si="12"/>
        <v>0</v>
      </c>
      <c r="V30" s="271">
        <f t="shared" si="12"/>
        <v>0</v>
      </c>
      <c r="W30" s="271">
        <f t="shared" si="12"/>
        <v>0</v>
      </c>
      <c r="X30" s="271">
        <f t="shared" ref="I30:AA30" si="13">SUM(X31:X34)</f>
        <v>0</v>
      </c>
      <c r="Y30" s="271">
        <f t="shared" ref="Y30:AA30" si="14">SUM(Y31:Y34)</f>
        <v>0</v>
      </c>
      <c r="Z30" s="271">
        <f t="shared" si="14"/>
        <v>0</v>
      </c>
      <c r="AA30" s="271">
        <f t="shared" si="14"/>
        <v>0</v>
      </c>
      <c r="AB30" s="271">
        <f t="shared" si="10"/>
        <v>0</v>
      </c>
      <c r="AC30" s="277">
        <f t="shared" si="11"/>
        <v>-0.21360000000000001</v>
      </c>
      <c r="AE30" s="542">
        <f>G30+J30+N30+AC30</f>
        <v>1.2918296900000001</v>
      </c>
    </row>
    <row r="31" spans="1:32" x14ac:dyDescent="0.25">
      <c r="A31" s="77" t="s">
        <v>167</v>
      </c>
      <c r="B31" s="48" t="s">
        <v>166</v>
      </c>
      <c r="C31" s="271">
        <v>0</v>
      </c>
      <c r="D31" s="271">
        <v>0</v>
      </c>
      <c r="E31" s="272">
        <v>0</v>
      </c>
      <c r="F31" s="272">
        <v>0</v>
      </c>
      <c r="G31" s="272">
        <v>0.89</v>
      </c>
      <c r="H31" s="272">
        <v>0</v>
      </c>
      <c r="I31" s="272">
        <v>0</v>
      </c>
      <c r="J31" s="272">
        <v>0</v>
      </c>
      <c r="K31" s="272">
        <v>0</v>
      </c>
      <c r="L31" s="272">
        <v>0</v>
      </c>
      <c r="M31" s="272">
        <v>0</v>
      </c>
      <c r="N31" s="272">
        <v>0.04</v>
      </c>
      <c r="O31" s="272">
        <v>0</v>
      </c>
      <c r="P31" s="272">
        <v>0</v>
      </c>
      <c r="Q31" s="272">
        <v>0</v>
      </c>
      <c r="R31" s="272">
        <v>0</v>
      </c>
      <c r="S31" s="272">
        <v>0</v>
      </c>
      <c r="T31" s="272">
        <v>0</v>
      </c>
      <c r="U31" s="272">
        <v>0</v>
      </c>
      <c r="V31" s="272">
        <v>0</v>
      </c>
      <c r="W31" s="272">
        <v>0</v>
      </c>
      <c r="X31" s="272">
        <v>0</v>
      </c>
      <c r="Y31" s="272">
        <v>0</v>
      </c>
      <c r="Z31" s="272">
        <v>0</v>
      </c>
      <c r="AA31" s="272">
        <v>0</v>
      </c>
      <c r="AB31" s="271">
        <f t="shared" si="10"/>
        <v>0</v>
      </c>
      <c r="AC31" s="277">
        <f t="shared" si="11"/>
        <v>0</v>
      </c>
    </row>
    <row r="32" spans="1:32" ht="31.5" x14ac:dyDescent="0.25">
      <c r="A32" s="77" t="s">
        <v>165</v>
      </c>
      <c r="B32" s="48" t="s">
        <v>164</v>
      </c>
      <c r="C32" s="271">
        <v>0</v>
      </c>
      <c r="D32" s="271">
        <v>0</v>
      </c>
      <c r="E32" s="272">
        <v>0</v>
      </c>
      <c r="F32" s="272">
        <v>0</v>
      </c>
      <c r="G32" s="272">
        <v>0</v>
      </c>
      <c r="H32" s="272">
        <v>0</v>
      </c>
      <c r="I32" s="272">
        <v>0</v>
      </c>
      <c r="J32" s="272">
        <v>0</v>
      </c>
      <c r="K32" s="272">
        <v>0</v>
      </c>
      <c r="L32" s="272">
        <v>0</v>
      </c>
      <c r="M32" s="272">
        <v>0</v>
      </c>
      <c r="N32" s="272">
        <v>0</v>
      </c>
      <c r="O32" s="272">
        <v>0</v>
      </c>
      <c r="P32" s="272">
        <v>0</v>
      </c>
      <c r="Q32" s="272">
        <v>0</v>
      </c>
      <c r="R32" s="272">
        <v>0</v>
      </c>
      <c r="S32" s="272">
        <v>0</v>
      </c>
      <c r="T32" s="272">
        <v>0</v>
      </c>
      <c r="U32" s="272">
        <v>0</v>
      </c>
      <c r="V32" s="272">
        <v>0</v>
      </c>
      <c r="W32" s="272">
        <v>0</v>
      </c>
      <c r="X32" s="272">
        <v>0</v>
      </c>
      <c r="Y32" s="272">
        <v>0</v>
      </c>
      <c r="Z32" s="272">
        <v>0</v>
      </c>
      <c r="AA32" s="272">
        <v>0</v>
      </c>
      <c r="AB32" s="271">
        <f t="shared" si="10"/>
        <v>0</v>
      </c>
      <c r="AC32" s="277">
        <f t="shared" si="11"/>
        <v>0</v>
      </c>
    </row>
    <row r="33" spans="1:29" x14ac:dyDescent="0.25">
      <c r="A33" s="77" t="s">
        <v>163</v>
      </c>
      <c r="B33" s="48" t="s">
        <v>162</v>
      </c>
      <c r="C33" s="271">
        <v>0</v>
      </c>
      <c r="D33" s="271">
        <v>0</v>
      </c>
      <c r="E33" s="272">
        <v>0</v>
      </c>
      <c r="F33" s="272">
        <v>0</v>
      </c>
      <c r="G33" s="272">
        <v>0</v>
      </c>
      <c r="H33" s="272">
        <v>0</v>
      </c>
      <c r="I33" s="272">
        <v>0</v>
      </c>
      <c r="J33" s="272">
        <v>0</v>
      </c>
      <c r="K33" s="272">
        <v>0</v>
      </c>
      <c r="L33" s="272">
        <v>0</v>
      </c>
      <c r="M33" s="272">
        <v>0</v>
      </c>
      <c r="N33" s="272">
        <v>0.54959999999999998</v>
      </c>
      <c r="O33" s="272">
        <v>0</v>
      </c>
      <c r="P33" s="272">
        <v>0</v>
      </c>
      <c r="Q33" s="272">
        <v>0</v>
      </c>
      <c r="R33" s="272">
        <v>-0.21360000000000001</v>
      </c>
      <c r="S33" s="272">
        <v>-0.21360000000000001</v>
      </c>
      <c r="T33" s="272">
        <v>0</v>
      </c>
      <c r="U33" s="272">
        <v>0</v>
      </c>
      <c r="V33" s="272">
        <v>0</v>
      </c>
      <c r="W33" s="272">
        <v>0</v>
      </c>
      <c r="X33" s="272">
        <v>0</v>
      </c>
      <c r="Y33" s="272">
        <v>0</v>
      </c>
      <c r="Z33" s="272">
        <v>0</v>
      </c>
      <c r="AA33" s="272">
        <v>0</v>
      </c>
      <c r="AB33" s="271">
        <f t="shared" si="10"/>
        <v>0</v>
      </c>
      <c r="AC33" s="277">
        <f t="shared" si="11"/>
        <v>-0.21360000000000001</v>
      </c>
    </row>
    <row r="34" spans="1:29" x14ac:dyDescent="0.25">
      <c r="A34" s="77" t="s">
        <v>161</v>
      </c>
      <c r="B34" s="48" t="s">
        <v>160</v>
      </c>
      <c r="C34" s="271">
        <v>0</v>
      </c>
      <c r="D34" s="271">
        <v>0</v>
      </c>
      <c r="E34" s="272">
        <v>0</v>
      </c>
      <c r="F34" s="272">
        <v>0</v>
      </c>
      <c r="G34" s="272">
        <v>1.2642E-2</v>
      </c>
      <c r="H34" s="272">
        <v>0</v>
      </c>
      <c r="I34" s="272">
        <v>0</v>
      </c>
      <c r="J34" s="272">
        <v>8.9999999999999998E-4</v>
      </c>
      <c r="K34" s="272">
        <v>0</v>
      </c>
      <c r="L34" s="272">
        <v>0</v>
      </c>
      <c r="M34" s="272">
        <v>0</v>
      </c>
      <c r="N34" s="272">
        <v>1.2287689999999999E-2</v>
      </c>
      <c r="O34" s="272">
        <v>0</v>
      </c>
      <c r="P34" s="272">
        <v>0</v>
      </c>
      <c r="Q34" s="272">
        <v>0</v>
      </c>
      <c r="R34" s="272">
        <v>0</v>
      </c>
      <c r="S34" s="272">
        <v>0</v>
      </c>
      <c r="T34" s="272">
        <v>0</v>
      </c>
      <c r="U34" s="272">
        <v>0</v>
      </c>
      <c r="V34" s="272">
        <v>0</v>
      </c>
      <c r="W34" s="272">
        <v>0</v>
      </c>
      <c r="X34" s="272">
        <v>0</v>
      </c>
      <c r="Y34" s="272">
        <v>0</v>
      </c>
      <c r="Z34" s="272">
        <v>0</v>
      </c>
      <c r="AA34" s="272">
        <v>0</v>
      </c>
      <c r="AB34" s="271">
        <f t="shared" si="10"/>
        <v>0</v>
      </c>
      <c r="AC34" s="277">
        <f t="shared" si="11"/>
        <v>0</v>
      </c>
    </row>
    <row r="35" spans="1:29" ht="31.5" x14ac:dyDescent="0.25">
      <c r="A35" s="77" t="s">
        <v>60</v>
      </c>
      <c r="B35" s="76"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v>0</v>
      </c>
      <c r="U35" s="271">
        <v>0</v>
      </c>
      <c r="V35" s="271">
        <v>0</v>
      </c>
      <c r="W35" s="271">
        <v>0</v>
      </c>
      <c r="X35" s="271">
        <v>0</v>
      </c>
      <c r="Y35" s="271">
        <v>0</v>
      </c>
      <c r="Z35" s="271">
        <v>0</v>
      </c>
      <c r="AA35" s="271">
        <v>0</v>
      </c>
      <c r="AB35" s="271">
        <f t="shared" si="10"/>
        <v>0</v>
      </c>
      <c r="AC35" s="277">
        <f t="shared" si="11"/>
        <v>0</v>
      </c>
    </row>
    <row r="36" spans="1:29" ht="31.5" x14ac:dyDescent="0.25">
      <c r="A36" s="74" t="s">
        <v>158</v>
      </c>
      <c r="B36" s="73"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2">
        <v>0</v>
      </c>
      <c r="U36" s="272">
        <v>0</v>
      </c>
      <c r="V36" s="272">
        <v>0</v>
      </c>
      <c r="W36" s="272">
        <v>0</v>
      </c>
      <c r="X36" s="272">
        <v>0</v>
      </c>
      <c r="Y36" s="272">
        <v>0</v>
      </c>
      <c r="Z36" s="272">
        <v>0</v>
      </c>
      <c r="AA36" s="272">
        <v>0</v>
      </c>
      <c r="AB36" s="271">
        <f t="shared" si="10"/>
        <v>0</v>
      </c>
      <c r="AC36" s="277">
        <f t="shared" si="11"/>
        <v>0</v>
      </c>
    </row>
    <row r="37" spans="1:29" x14ac:dyDescent="0.25">
      <c r="A37" s="74" t="s">
        <v>156</v>
      </c>
      <c r="B37" s="73"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2">
        <v>0</v>
      </c>
      <c r="U37" s="272">
        <v>0</v>
      </c>
      <c r="V37" s="272">
        <v>0</v>
      </c>
      <c r="W37" s="272">
        <v>0</v>
      </c>
      <c r="X37" s="272">
        <v>0</v>
      </c>
      <c r="Y37" s="272">
        <v>0</v>
      </c>
      <c r="Z37" s="272">
        <v>0</v>
      </c>
      <c r="AA37" s="272">
        <v>0</v>
      </c>
      <c r="AB37" s="271">
        <f t="shared" si="10"/>
        <v>0</v>
      </c>
      <c r="AC37" s="277">
        <f t="shared" si="11"/>
        <v>0</v>
      </c>
    </row>
    <row r="38" spans="1:29" x14ac:dyDescent="0.25">
      <c r="A38" s="74" t="s">
        <v>155</v>
      </c>
      <c r="B38" s="73"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2">
        <v>0</v>
      </c>
      <c r="U38" s="272">
        <v>0</v>
      </c>
      <c r="V38" s="272">
        <v>0</v>
      </c>
      <c r="W38" s="272">
        <v>0</v>
      </c>
      <c r="X38" s="272">
        <v>0</v>
      </c>
      <c r="Y38" s="272">
        <v>0</v>
      </c>
      <c r="Z38" s="272">
        <v>0</v>
      </c>
      <c r="AA38" s="272">
        <v>0</v>
      </c>
      <c r="AB38" s="271">
        <f t="shared" si="10"/>
        <v>0</v>
      </c>
      <c r="AC38" s="277">
        <f t="shared" si="11"/>
        <v>0</v>
      </c>
    </row>
    <row r="39" spans="1:29" ht="31.5" x14ac:dyDescent="0.25">
      <c r="A39" s="74" t="s">
        <v>154</v>
      </c>
      <c r="B39" s="48"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2">
        <v>0</v>
      </c>
      <c r="U39" s="272">
        <v>0</v>
      </c>
      <c r="V39" s="272">
        <v>0</v>
      </c>
      <c r="W39" s="272">
        <v>0</v>
      </c>
      <c r="X39" s="272">
        <v>0</v>
      </c>
      <c r="Y39" s="272">
        <v>0</v>
      </c>
      <c r="Z39" s="272">
        <v>0</v>
      </c>
      <c r="AA39" s="272">
        <v>0</v>
      </c>
      <c r="AB39" s="271">
        <f t="shared" si="10"/>
        <v>0</v>
      </c>
      <c r="AC39" s="277">
        <f t="shared" si="11"/>
        <v>0</v>
      </c>
    </row>
    <row r="40" spans="1:29" ht="31.5" x14ac:dyDescent="0.25">
      <c r="A40" s="74" t="s">
        <v>153</v>
      </c>
      <c r="B40" s="48"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2">
        <v>0</v>
      </c>
      <c r="U40" s="272">
        <v>0</v>
      </c>
      <c r="V40" s="272">
        <v>0</v>
      </c>
      <c r="W40" s="272">
        <v>0</v>
      </c>
      <c r="X40" s="272">
        <v>0</v>
      </c>
      <c r="Y40" s="272">
        <v>0</v>
      </c>
      <c r="Z40" s="272">
        <v>0</v>
      </c>
      <c r="AA40" s="272">
        <v>0</v>
      </c>
      <c r="AB40" s="271">
        <f t="shared" si="10"/>
        <v>0</v>
      </c>
      <c r="AC40" s="277">
        <f t="shared" si="11"/>
        <v>0</v>
      </c>
    </row>
    <row r="41" spans="1:29" x14ac:dyDescent="0.25">
      <c r="A41" s="74" t="s">
        <v>152</v>
      </c>
      <c r="B41" s="48"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2">
        <v>0</v>
      </c>
      <c r="U41" s="272">
        <v>0</v>
      </c>
      <c r="V41" s="272">
        <v>0</v>
      </c>
      <c r="W41" s="272">
        <v>0</v>
      </c>
      <c r="X41" s="272">
        <v>0</v>
      </c>
      <c r="Y41" s="272">
        <v>0</v>
      </c>
      <c r="Z41" s="272">
        <v>0</v>
      </c>
      <c r="AA41" s="272">
        <v>0</v>
      </c>
      <c r="AB41" s="271">
        <f t="shared" si="10"/>
        <v>0</v>
      </c>
      <c r="AC41" s="277">
        <f t="shared" si="11"/>
        <v>0</v>
      </c>
    </row>
    <row r="42" spans="1:29" ht="18.75" x14ac:dyDescent="0.25">
      <c r="A42" s="74" t="s">
        <v>151</v>
      </c>
      <c r="B42" s="73"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2">
        <v>0</v>
      </c>
      <c r="U42" s="272">
        <v>0</v>
      </c>
      <c r="V42" s="272">
        <v>0</v>
      </c>
      <c r="W42" s="272">
        <v>0</v>
      </c>
      <c r="X42" s="272">
        <v>0</v>
      </c>
      <c r="Y42" s="272">
        <v>0</v>
      </c>
      <c r="Z42" s="272">
        <v>0</v>
      </c>
      <c r="AA42" s="272">
        <v>0</v>
      </c>
      <c r="AB42" s="271">
        <f t="shared" si="10"/>
        <v>0</v>
      </c>
      <c r="AC42" s="277">
        <f t="shared" si="11"/>
        <v>0</v>
      </c>
    </row>
    <row r="43" spans="1:29" x14ac:dyDescent="0.25">
      <c r="A43" s="77" t="s">
        <v>59</v>
      </c>
      <c r="B43" s="76"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v>0</v>
      </c>
      <c r="U43" s="271">
        <v>0</v>
      </c>
      <c r="V43" s="271">
        <v>0</v>
      </c>
      <c r="W43" s="271">
        <v>0</v>
      </c>
      <c r="X43" s="271">
        <v>0</v>
      </c>
      <c r="Y43" s="271">
        <v>0</v>
      </c>
      <c r="Z43" s="271">
        <v>0</v>
      </c>
      <c r="AA43" s="271">
        <v>0</v>
      </c>
      <c r="AB43" s="271">
        <f t="shared" si="10"/>
        <v>0</v>
      </c>
      <c r="AC43" s="277">
        <f t="shared" si="11"/>
        <v>0</v>
      </c>
    </row>
    <row r="44" spans="1:29" x14ac:dyDescent="0.25">
      <c r="A44" s="74" t="s">
        <v>149</v>
      </c>
      <c r="B44" s="48"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2">
        <v>0</v>
      </c>
      <c r="U44" s="272">
        <v>0</v>
      </c>
      <c r="V44" s="272">
        <v>0</v>
      </c>
      <c r="W44" s="272">
        <v>0</v>
      </c>
      <c r="X44" s="272">
        <v>0</v>
      </c>
      <c r="Y44" s="272">
        <v>0</v>
      </c>
      <c r="Z44" s="272">
        <v>0</v>
      </c>
      <c r="AA44" s="272">
        <v>0</v>
      </c>
      <c r="AB44" s="271">
        <f t="shared" si="10"/>
        <v>0</v>
      </c>
      <c r="AC44" s="277">
        <f t="shared" si="11"/>
        <v>0</v>
      </c>
    </row>
    <row r="45" spans="1:29" x14ac:dyDescent="0.25">
      <c r="A45" s="74" t="s">
        <v>147</v>
      </c>
      <c r="B45" s="48"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2">
        <v>0</v>
      </c>
      <c r="U45" s="272">
        <v>0</v>
      </c>
      <c r="V45" s="272">
        <v>0</v>
      </c>
      <c r="W45" s="272">
        <v>0</v>
      </c>
      <c r="X45" s="272">
        <v>0</v>
      </c>
      <c r="Y45" s="272">
        <v>0</v>
      </c>
      <c r="Z45" s="272">
        <v>0</v>
      </c>
      <c r="AA45" s="272">
        <v>0</v>
      </c>
      <c r="AB45" s="271">
        <f t="shared" si="10"/>
        <v>0</v>
      </c>
      <c r="AC45" s="277">
        <f t="shared" si="11"/>
        <v>0</v>
      </c>
    </row>
    <row r="46" spans="1:29" x14ac:dyDescent="0.25">
      <c r="A46" s="74" t="s">
        <v>145</v>
      </c>
      <c r="B46" s="48"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2">
        <v>0</v>
      </c>
      <c r="U46" s="272">
        <v>0</v>
      </c>
      <c r="V46" s="272">
        <v>0</v>
      </c>
      <c r="W46" s="272">
        <v>0</v>
      </c>
      <c r="X46" s="272">
        <v>0</v>
      </c>
      <c r="Y46" s="272">
        <v>0</v>
      </c>
      <c r="Z46" s="272">
        <v>0</v>
      </c>
      <c r="AA46" s="272">
        <v>0</v>
      </c>
      <c r="AB46" s="271">
        <f t="shared" si="10"/>
        <v>0</v>
      </c>
      <c r="AC46" s="277">
        <f t="shared" si="11"/>
        <v>0</v>
      </c>
    </row>
    <row r="47" spans="1:29" ht="31.5" x14ac:dyDescent="0.25">
      <c r="A47" s="74" t="s">
        <v>143</v>
      </c>
      <c r="B47" s="48"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2">
        <v>0</v>
      </c>
      <c r="U47" s="272">
        <v>0</v>
      </c>
      <c r="V47" s="272">
        <v>0</v>
      </c>
      <c r="W47" s="272">
        <v>0</v>
      </c>
      <c r="X47" s="272">
        <v>0</v>
      </c>
      <c r="Y47" s="272">
        <v>0</v>
      </c>
      <c r="Z47" s="272">
        <v>0</v>
      </c>
      <c r="AA47" s="272">
        <v>0</v>
      </c>
      <c r="AB47" s="271">
        <f t="shared" si="10"/>
        <v>0</v>
      </c>
      <c r="AC47" s="277">
        <f t="shared" si="11"/>
        <v>0</v>
      </c>
    </row>
    <row r="48" spans="1:29" ht="31.5" x14ac:dyDescent="0.25">
      <c r="A48" s="74" t="s">
        <v>141</v>
      </c>
      <c r="B48" s="48"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2">
        <v>0</v>
      </c>
      <c r="U48" s="272">
        <v>0</v>
      </c>
      <c r="V48" s="272">
        <v>0</v>
      </c>
      <c r="W48" s="272">
        <v>0</v>
      </c>
      <c r="X48" s="272">
        <v>0</v>
      </c>
      <c r="Y48" s="272">
        <v>0</v>
      </c>
      <c r="Z48" s="272">
        <v>0</v>
      </c>
      <c r="AA48" s="272">
        <v>0</v>
      </c>
      <c r="AB48" s="271">
        <f t="shared" si="10"/>
        <v>0</v>
      </c>
      <c r="AC48" s="277">
        <f t="shared" si="11"/>
        <v>0</v>
      </c>
    </row>
    <row r="49" spans="1:31" x14ac:dyDescent="0.25">
      <c r="A49" s="74" t="s">
        <v>139</v>
      </c>
      <c r="B49" s="48"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2">
        <v>0</v>
      </c>
      <c r="U49" s="272">
        <v>0</v>
      </c>
      <c r="V49" s="272">
        <v>0</v>
      </c>
      <c r="W49" s="272">
        <v>0</v>
      </c>
      <c r="X49" s="272">
        <v>0</v>
      </c>
      <c r="Y49" s="272">
        <v>0</v>
      </c>
      <c r="Z49" s="272">
        <v>0</v>
      </c>
      <c r="AA49" s="272">
        <v>0</v>
      </c>
      <c r="AB49" s="271">
        <f t="shared" si="10"/>
        <v>0</v>
      </c>
      <c r="AC49" s="277">
        <f t="shared" si="11"/>
        <v>0</v>
      </c>
    </row>
    <row r="50" spans="1:31" ht="18.75" x14ac:dyDescent="0.25">
      <c r="A50" s="74" t="s">
        <v>137</v>
      </c>
      <c r="B50" s="73"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2">
        <v>0</v>
      </c>
      <c r="U50" s="272">
        <v>0</v>
      </c>
      <c r="V50" s="272">
        <v>0</v>
      </c>
      <c r="W50" s="272">
        <v>0</v>
      </c>
      <c r="X50" s="272">
        <v>0</v>
      </c>
      <c r="Y50" s="272">
        <v>0</v>
      </c>
      <c r="Z50" s="272">
        <v>0</v>
      </c>
      <c r="AA50" s="272">
        <v>0</v>
      </c>
      <c r="AB50" s="271">
        <f t="shared" si="10"/>
        <v>0</v>
      </c>
      <c r="AC50" s="277">
        <f t="shared" si="11"/>
        <v>0</v>
      </c>
    </row>
    <row r="51" spans="1:31" ht="35.25" customHeight="1" x14ac:dyDescent="0.25">
      <c r="A51" s="77" t="s">
        <v>57</v>
      </c>
      <c r="B51" s="76"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v>0</v>
      </c>
      <c r="U51" s="271">
        <v>0</v>
      </c>
      <c r="V51" s="271">
        <v>0</v>
      </c>
      <c r="W51" s="271">
        <v>0</v>
      </c>
      <c r="X51" s="271">
        <v>0</v>
      </c>
      <c r="Y51" s="271">
        <v>0</v>
      </c>
      <c r="Z51" s="271">
        <v>0</v>
      </c>
      <c r="AA51" s="271">
        <v>0</v>
      </c>
      <c r="AB51" s="271">
        <f t="shared" si="10"/>
        <v>0</v>
      </c>
      <c r="AC51" s="277">
        <f t="shared" si="11"/>
        <v>0</v>
      </c>
    </row>
    <row r="52" spans="1:31" x14ac:dyDescent="0.25">
      <c r="A52" s="74" t="s">
        <v>134</v>
      </c>
      <c r="B52" s="48"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2">
        <v>0</v>
      </c>
      <c r="U52" s="272">
        <v>0</v>
      </c>
      <c r="V52" s="272">
        <v>0</v>
      </c>
      <c r="W52" s="272">
        <v>0</v>
      </c>
      <c r="X52" s="272">
        <v>0</v>
      </c>
      <c r="Y52" s="272">
        <v>0</v>
      </c>
      <c r="Z52" s="272">
        <v>0</v>
      </c>
      <c r="AA52" s="272">
        <v>0</v>
      </c>
      <c r="AB52" s="271">
        <f t="shared" si="10"/>
        <v>0</v>
      </c>
      <c r="AC52" s="277">
        <f t="shared" si="11"/>
        <v>0</v>
      </c>
      <c r="AE52" s="542">
        <f>G52+J52+N52+AC52</f>
        <v>0</v>
      </c>
    </row>
    <row r="53" spans="1:31" x14ac:dyDescent="0.25">
      <c r="A53" s="74" t="s">
        <v>132</v>
      </c>
      <c r="B53" s="48"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2">
        <v>0</v>
      </c>
      <c r="U53" s="272">
        <v>0</v>
      </c>
      <c r="V53" s="272">
        <v>0</v>
      </c>
      <c r="W53" s="272">
        <v>0</v>
      </c>
      <c r="X53" s="272">
        <v>0</v>
      </c>
      <c r="Y53" s="272">
        <v>0</v>
      </c>
      <c r="Z53" s="272">
        <v>0</v>
      </c>
      <c r="AA53" s="272">
        <v>0</v>
      </c>
      <c r="AB53" s="271">
        <f t="shared" si="10"/>
        <v>0</v>
      </c>
      <c r="AC53" s="277">
        <f t="shared" si="11"/>
        <v>0</v>
      </c>
    </row>
    <row r="54" spans="1:31" x14ac:dyDescent="0.25">
      <c r="A54" s="74" t="s">
        <v>131</v>
      </c>
      <c r="B54" s="73"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2">
        <v>0</v>
      </c>
      <c r="U54" s="272">
        <v>0</v>
      </c>
      <c r="V54" s="272">
        <v>0</v>
      </c>
      <c r="W54" s="272">
        <v>0</v>
      </c>
      <c r="X54" s="272">
        <v>0</v>
      </c>
      <c r="Y54" s="272">
        <v>0</v>
      </c>
      <c r="Z54" s="272">
        <v>0</v>
      </c>
      <c r="AA54" s="272">
        <v>0</v>
      </c>
      <c r="AB54" s="271">
        <f t="shared" si="10"/>
        <v>0</v>
      </c>
      <c r="AC54" s="277">
        <f t="shared" si="11"/>
        <v>0</v>
      </c>
    </row>
    <row r="55" spans="1:31" x14ac:dyDescent="0.25">
      <c r="A55" s="74" t="s">
        <v>130</v>
      </c>
      <c r="B55" s="73"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2">
        <v>0</v>
      </c>
      <c r="U55" s="272">
        <v>0</v>
      </c>
      <c r="V55" s="272">
        <v>0</v>
      </c>
      <c r="W55" s="272">
        <v>0</v>
      </c>
      <c r="X55" s="272">
        <v>0</v>
      </c>
      <c r="Y55" s="272">
        <v>0</v>
      </c>
      <c r="Z55" s="272">
        <v>0</v>
      </c>
      <c r="AA55" s="272">
        <v>0</v>
      </c>
      <c r="AB55" s="271">
        <f t="shared" si="10"/>
        <v>0</v>
      </c>
      <c r="AC55" s="277">
        <f t="shared" si="11"/>
        <v>0</v>
      </c>
    </row>
    <row r="56" spans="1:31" x14ac:dyDescent="0.25">
      <c r="A56" s="74" t="s">
        <v>129</v>
      </c>
      <c r="B56" s="73"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2">
        <v>0</v>
      </c>
      <c r="U56" s="272">
        <v>0</v>
      </c>
      <c r="V56" s="272">
        <v>0</v>
      </c>
      <c r="W56" s="272">
        <v>0</v>
      </c>
      <c r="X56" s="272">
        <v>0</v>
      </c>
      <c r="Y56" s="272">
        <v>0</v>
      </c>
      <c r="Z56" s="272">
        <v>0</v>
      </c>
      <c r="AA56" s="272">
        <v>0</v>
      </c>
      <c r="AB56" s="271">
        <f t="shared" si="10"/>
        <v>0</v>
      </c>
      <c r="AC56" s="277">
        <f t="shared" si="11"/>
        <v>0</v>
      </c>
    </row>
    <row r="57" spans="1:31" ht="18.75" x14ac:dyDescent="0.25">
      <c r="A57" s="74" t="s">
        <v>128</v>
      </c>
      <c r="B57" s="73"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2">
        <v>0</v>
      </c>
      <c r="U57" s="272">
        <v>0</v>
      </c>
      <c r="V57" s="272">
        <v>0</v>
      </c>
      <c r="W57" s="272">
        <v>0</v>
      </c>
      <c r="X57" s="272">
        <v>0</v>
      </c>
      <c r="Y57" s="272">
        <v>0</v>
      </c>
      <c r="Z57" s="272">
        <v>0</v>
      </c>
      <c r="AA57" s="272">
        <v>0</v>
      </c>
      <c r="AB57" s="271">
        <f t="shared" si="10"/>
        <v>0</v>
      </c>
      <c r="AC57" s="277">
        <f t="shared" si="11"/>
        <v>0</v>
      </c>
    </row>
    <row r="58" spans="1:31" ht="36.75" customHeight="1" x14ac:dyDescent="0.25">
      <c r="A58" s="77" t="s">
        <v>56</v>
      </c>
      <c r="B58" s="98"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v>0</v>
      </c>
      <c r="U58" s="271">
        <v>0</v>
      </c>
      <c r="V58" s="271">
        <v>0</v>
      </c>
      <c r="W58" s="271">
        <v>0</v>
      </c>
      <c r="X58" s="271">
        <v>0</v>
      </c>
      <c r="Y58" s="271">
        <v>0</v>
      </c>
      <c r="Z58" s="271">
        <v>0</v>
      </c>
      <c r="AA58" s="271">
        <v>0</v>
      </c>
      <c r="AB58" s="271">
        <f t="shared" si="10"/>
        <v>0</v>
      </c>
      <c r="AC58" s="277">
        <f t="shared" si="11"/>
        <v>0</v>
      </c>
    </row>
    <row r="59" spans="1:31" x14ac:dyDescent="0.25">
      <c r="A59" s="77" t="s">
        <v>54</v>
      </c>
      <c r="B59" s="76"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v>0</v>
      </c>
      <c r="U59" s="271">
        <v>0</v>
      </c>
      <c r="V59" s="271">
        <v>0</v>
      </c>
      <c r="W59" s="271">
        <v>0</v>
      </c>
      <c r="X59" s="271">
        <v>0</v>
      </c>
      <c r="Y59" s="271">
        <v>0</v>
      </c>
      <c r="Z59" s="271">
        <v>0</v>
      </c>
      <c r="AA59" s="271">
        <v>0</v>
      </c>
      <c r="AB59" s="271">
        <f t="shared" si="10"/>
        <v>0</v>
      </c>
      <c r="AC59" s="277">
        <f t="shared" si="11"/>
        <v>0</v>
      </c>
    </row>
    <row r="60" spans="1:31" x14ac:dyDescent="0.25">
      <c r="A60" s="74" t="s">
        <v>220</v>
      </c>
      <c r="B60" s="75"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2">
        <v>0</v>
      </c>
      <c r="U60" s="272">
        <v>0</v>
      </c>
      <c r="V60" s="272">
        <v>0</v>
      </c>
      <c r="W60" s="272">
        <v>0</v>
      </c>
      <c r="X60" s="272">
        <v>0</v>
      </c>
      <c r="Y60" s="272">
        <v>0</v>
      </c>
      <c r="Z60" s="272">
        <v>0</v>
      </c>
      <c r="AA60" s="272">
        <v>0</v>
      </c>
      <c r="AB60" s="271">
        <f t="shared" si="10"/>
        <v>0</v>
      </c>
      <c r="AC60" s="277">
        <f t="shared" si="11"/>
        <v>0</v>
      </c>
    </row>
    <row r="61" spans="1:31" x14ac:dyDescent="0.25">
      <c r="A61" s="74" t="s">
        <v>221</v>
      </c>
      <c r="B61" s="75"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2">
        <v>0</v>
      </c>
      <c r="U61" s="272">
        <v>0</v>
      </c>
      <c r="V61" s="272">
        <v>0</v>
      </c>
      <c r="W61" s="272">
        <v>0</v>
      </c>
      <c r="X61" s="272">
        <v>0</v>
      </c>
      <c r="Y61" s="272">
        <v>0</v>
      </c>
      <c r="Z61" s="272">
        <v>0</v>
      </c>
      <c r="AA61" s="272">
        <v>0</v>
      </c>
      <c r="AB61" s="271">
        <f t="shared" si="10"/>
        <v>0</v>
      </c>
      <c r="AC61" s="277">
        <f t="shared" si="11"/>
        <v>0</v>
      </c>
    </row>
    <row r="62" spans="1:31" x14ac:dyDescent="0.25">
      <c r="A62" s="74" t="s">
        <v>222</v>
      </c>
      <c r="B62" s="75"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2">
        <v>0</v>
      </c>
      <c r="U62" s="272">
        <v>0</v>
      </c>
      <c r="V62" s="272">
        <v>0</v>
      </c>
      <c r="W62" s="272">
        <v>0</v>
      </c>
      <c r="X62" s="272">
        <v>0</v>
      </c>
      <c r="Y62" s="272">
        <v>0</v>
      </c>
      <c r="Z62" s="272">
        <v>0</v>
      </c>
      <c r="AA62" s="272">
        <v>0</v>
      </c>
      <c r="AB62" s="271">
        <f t="shared" si="10"/>
        <v>0</v>
      </c>
      <c r="AC62" s="277">
        <f t="shared" si="11"/>
        <v>0</v>
      </c>
    </row>
    <row r="63" spans="1:31" x14ac:dyDescent="0.25">
      <c r="A63" s="74" t="s">
        <v>223</v>
      </c>
      <c r="B63" s="75"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2">
        <v>0</v>
      </c>
      <c r="U63" s="272">
        <v>0</v>
      </c>
      <c r="V63" s="272">
        <v>0</v>
      </c>
      <c r="W63" s="272">
        <v>0</v>
      </c>
      <c r="X63" s="272">
        <v>0</v>
      </c>
      <c r="Y63" s="272">
        <v>0</v>
      </c>
      <c r="Z63" s="272">
        <v>0</v>
      </c>
      <c r="AA63" s="272">
        <v>0</v>
      </c>
      <c r="AB63" s="271">
        <f t="shared" si="10"/>
        <v>0</v>
      </c>
      <c r="AC63" s="277">
        <f t="shared" si="11"/>
        <v>0</v>
      </c>
    </row>
    <row r="64" spans="1:31" ht="18.75" x14ac:dyDescent="0.25">
      <c r="A64" s="74" t="s">
        <v>224</v>
      </c>
      <c r="B64" s="73"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2">
        <v>0</v>
      </c>
      <c r="U64" s="272">
        <v>0</v>
      </c>
      <c r="V64" s="272">
        <v>0</v>
      </c>
      <c r="W64" s="272">
        <v>0</v>
      </c>
      <c r="X64" s="272">
        <v>0</v>
      </c>
      <c r="Y64" s="272">
        <v>0</v>
      </c>
      <c r="Z64" s="272">
        <v>0</v>
      </c>
      <c r="AA64" s="272">
        <v>0</v>
      </c>
      <c r="AB64" s="271">
        <f t="shared" si="10"/>
        <v>0</v>
      </c>
      <c r="AC64" s="277">
        <f t="shared" si="11"/>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507"/>
      <c r="C66" s="507"/>
      <c r="D66" s="507"/>
      <c r="E66" s="507"/>
      <c r="F66" s="507"/>
      <c r="G66" s="507"/>
      <c r="H66" s="507"/>
      <c r="I66" s="507"/>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08"/>
      <c r="C68" s="508"/>
      <c r="D68" s="508"/>
      <c r="E68" s="508"/>
      <c r="F68" s="508"/>
      <c r="G68" s="508"/>
      <c r="H68" s="508"/>
      <c r="I68" s="508"/>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07"/>
      <c r="C70" s="507"/>
      <c r="D70" s="507"/>
      <c r="E70" s="507"/>
      <c r="F70" s="507"/>
      <c r="G70" s="507"/>
      <c r="H70" s="507"/>
      <c r="I70" s="507"/>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507"/>
      <c r="C72" s="507"/>
      <c r="D72" s="507"/>
      <c r="E72" s="507"/>
      <c r="F72" s="507"/>
      <c r="G72" s="507"/>
      <c r="H72" s="507"/>
      <c r="I72" s="507"/>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508"/>
      <c r="C73" s="508"/>
      <c r="D73" s="508"/>
      <c r="E73" s="508"/>
      <c r="F73" s="508"/>
      <c r="G73" s="508"/>
      <c r="H73" s="508"/>
      <c r="I73" s="508"/>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507"/>
      <c r="C74" s="507"/>
      <c r="D74" s="507"/>
      <c r="E74" s="507"/>
      <c r="F74" s="507"/>
      <c r="G74" s="507"/>
      <c r="H74" s="507"/>
      <c r="I74" s="507"/>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505"/>
      <c r="C75" s="505"/>
      <c r="D75" s="505"/>
      <c r="E75" s="505"/>
      <c r="F75" s="505"/>
      <c r="G75" s="505"/>
      <c r="H75" s="505"/>
      <c r="I75" s="505"/>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506"/>
      <c r="C77" s="506"/>
      <c r="D77" s="506"/>
      <c r="E77" s="506"/>
      <c r="F77" s="506"/>
      <c r="G77" s="506"/>
      <c r="H77" s="506"/>
      <c r="I77" s="506"/>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G64 P24:AB64">
    <cfRule type="cellIs" dxfId="7" priority="3" operator="notEqual">
      <formula>0</formula>
    </cfRule>
  </conditionalFormatting>
  <conditionalFormatting sqref="AC24:AC64">
    <cfRule type="cellIs" dxfId="6" priority="2" operator="notEqual">
      <formula>0</formula>
    </cfRule>
  </conditionalFormatting>
  <conditionalFormatting sqref="H24:O64">
    <cfRule type="cellIs" dxfId="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20" zoomScale="85" zoomScaleSheetLayoutView="85" workbookViewId="0">
      <selection activeCell="AT27" sqref="AT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7" width="13.28515625" style="19" customWidth="1"/>
    <col min="28" max="28" width="14.855468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5"/>
    </row>
    <row r="7" spans="1:48" ht="18.75" x14ac:dyDescent="0.25">
      <c r="A7" s="426" t="s">
        <v>7</v>
      </c>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c r="AU7" s="426"/>
      <c r="AV7" s="426"/>
    </row>
    <row r="8" spans="1:48" ht="18.75" x14ac:dyDescent="0.2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c r="AU8" s="426"/>
      <c r="AV8" s="426"/>
    </row>
    <row r="9" spans="1:48"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row>
    <row r="12" spans="1:48" x14ac:dyDescent="0.25">
      <c r="A12" s="420" t="str">
        <f>'1. паспорт местоположение'!A12:C12</f>
        <v>I_16-0064</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x14ac:dyDescent="0.25">
      <c r="A15" s="420"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6"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6" customFormat="1" x14ac:dyDescent="0.25">
      <c r="A21" s="509" t="s">
        <v>509</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6" customFormat="1" ht="58.5" customHeight="1" x14ac:dyDescent="0.25">
      <c r="A22" s="510" t="s">
        <v>50</v>
      </c>
      <c r="B22" s="513" t="s">
        <v>22</v>
      </c>
      <c r="C22" s="510" t="s">
        <v>49</v>
      </c>
      <c r="D22" s="510" t="s">
        <v>48</v>
      </c>
      <c r="E22" s="516" t="s">
        <v>520</v>
      </c>
      <c r="F22" s="517"/>
      <c r="G22" s="517"/>
      <c r="H22" s="517"/>
      <c r="I22" s="517"/>
      <c r="J22" s="517"/>
      <c r="K22" s="517"/>
      <c r="L22" s="518"/>
      <c r="M22" s="510" t="s">
        <v>47</v>
      </c>
      <c r="N22" s="510" t="s">
        <v>46</v>
      </c>
      <c r="O22" s="510" t="s">
        <v>45</v>
      </c>
      <c r="P22" s="519" t="s">
        <v>255</v>
      </c>
      <c r="Q22" s="519" t="s">
        <v>44</v>
      </c>
      <c r="R22" s="519" t="s">
        <v>43</v>
      </c>
      <c r="S22" s="519" t="s">
        <v>42</v>
      </c>
      <c r="T22" s="519"/>
      <c r="U22" s="520" t="s">
        <v>41</v>
      </c>
      <c r="V22" s="520" t="s">
        <v>40</v>
      </c>
      <c r="W22" s="519" t="s">
        <v>39</v>
      </c>
      <c r="X22" s="519" t="s">
        <v>38</v>
      </c>
      <c r="Y22" s="519" t="s">
        <v>37</v>
      </c>
      <c r="Z22" s="533"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3" t="s">
        <v>23</v>
      </c>
    </row>
    <row r="23" spans="1:48" s="26" customFormat="1" ht="64.5" customHeight="1" x14ac:dyDescent="0.25">
      <c r="A23" s="511"/>
      <c r="B23" s="514"/>
      <c r="C23" s="511"/>
      <c r="D23" s="511"/>
      <c r="E23" s="525" t="s">
        <v>21</v>
      </c>
      <c r="F23" s="527" t="s">
        <v>126</v>
      </c>
      <c r="G23" s="527" t="s">
        <v>125</v>
      </c>
      <c r="H23" s="527" t="s">
        <v>124</v>
      </c>
      <c r="I23" s="531" t="s">
        <v>430</v>
      </c>
      <c r="J23" s="531" t="s">
        <v>431</v>
      </c>
      <c r="K23" s="531" t="s">
        <v>432</v>
      </c>
      <c r="L23" s="527" t="s">
        <v>74</v>
      </c>
      <c r="M23" s="511"/>
      <c r="N23" s="511"/>
      <c r="O23" s="511"/>
      <c r="P23" s="519"/>
      <c r="Q23" s="519"/>
      <c r="R23" s="519"/>
      <c r="S23" s="529" t="s">
        <v>2</v>
      </c>
      <c r="T23" s="529" t="s">
        <v>9</v>
      </c>
      <c r="U23" s="520"/>
      <c r="V23" s="520"/>
      <c r="W23" s="519"/>
      <c r="X23" s="519"/>
      <c r="Y23" s="519"/>
      <c r="Z23" s="519"/>
      <c r="AA23" s="519"/>
      <c r="AB23" s="519"/>
      <c r="AC23" s="519"/>
      <c r="AD23" s="519"/>
      <c r="AE23" s="519"/>
      <c r="AF23" s="519" t="s">
        <v>20</v>
      </c>
      <c r="AG23" s="519"/>
      <c r="AH23" s="519" t="s">
        <v>19</v>
      </c>
      <c r="AI23" s="519"/>
      <c r="AJ23" s="510" t="s">
        <v>18</v>
      </c>
      <c r="AK23" s="510" t="s">
        <v>17</v>
      </c>
      <c r="AL23" s="510" t="s">
        <v>16</v>
      </c>
      <c r="AM23" s="510" t="s">
        <v>15</v>
      </c>
      <c r="AN23" s="510" t="s">
        <v>14</v>
      </c>
      <c r="AO23" s="510" t="s">
        <v>13</v>
      </c>
      <c r="AP23" s="510" t="s">
        <v>12</v>
      </c>
      <c r="AQ23" s="521" t="s">
        <v>9</v>
      </c>
      <c r="AR23" s="519"/>
      <c r="AS23" s="519"/>
      <c r="AT23" s="519"/>
      <c r="AU23" s="519"/>
      <c r="AV23" s="524"/>
    </row>
    <row r="24" spans="1:48" s="26" customFormat="1" ht="96.75" customHeight="1" x14ac:dyDescent="0.25">
      <c r="A24" s="512"/>
      <c r="B24" s="515"/>
      <c r="C24" s="512"/>
      <c r="D24" s="512"/>
      <c r="E24" s="526"/>
      <c r="F24" s="528"/>
      <c r="G24" s="528"/>
      <c r="H24" s="528"/>
      <c r="I24" s="532"/>
      <c r="J24" s="532"/>
      <c r="K24" s="532"/>
      <c r="L24" s="528"/>
      <c r="M24" s="512"/>
      <c r="N24" s="512"/>
      <c r="O24" s="512"/>
      <c r="P24" s="519"/>
      <c r="Q24" s="519"/>
      <c r="R24" s="519"/>
      <c r="S24" s="530"/>
      <c r="T24" s="530"/>
      <c r="U24" s="520"/>
      <c r="V24" s="520"/>
      <c r="W24" s="519"/>
      <c r="X24" s="519"/>
      <c r="Y24" s="519"/>
      <c r="Z24" s="519"/>
      <c r="AA24" s="519"/>
      <c r="AB24" s="519"/>
      <c r="AC24" s="519"/>
      <c r="AD24" s="519"/>
      <c r="AE24" s="519"/>
      <c r="AF24" s="148" t="s">
        <v>11</v>
      </c>
      <c r="AG24" s="148" t="s">
        <v>10</v>
      </c>
      <c r="AH24" s="149" t="s">
        <v>2</v>
      </c>
      <c r="AI24" s="149" t="s">
        <v>9</v>
      </c>
      <c r="AJ24" s="512"/>
      <c r="AK24" s="512"/>
      <c r="AL24" s="512"/>
      <c r="AM24" s="512"/>
      <c r="AN24" s="512"/>
      <c r="AO24" s="512"/>
      <c r="AP24" s="512"/>
      <c r="AQ24" s="522"/>
      <c r="AR24" s="519"/>
      <c r="AS24" s="519"/>
      <c r="AT24" s="519"/>
      <c r="AU24" s="519"/>
      <c r="AV24" s="52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6.25" x14ac:dyDescent="0.2">
      <c r="A26" s="23">
        <v>1</v>
      </c>
      <c r="B26" s="311" t="s">
        <v>530</v>
      </c>
      <c r="C26" s="21" t="s">
        <v>62</v>
      </c>
      <c r="D26" s="22" t="s">
        <v>644</v>
      </c>
      <c r="E26" s="310"/>
      <c r="F26" s="310"/>
      <c r="G26" s="310"/>
      <c r="H26" s="310"/>
      <c r="I26" s="310"/>
      <c r="J26" s="310"/>
      <c r="K26" s="310"/>
      <c r="L26" s="372" t="s">
        <v>682</v>
      </c>
      <c r="M26" s="373" t="s">
        <v>718</v>
      </c>
      <c r="N26" s="311" t="s">
        <v>719</v>
      </c>
      <c r="O26" s="311" t="s">
        <v>530</v>
      </c>
      <c r="P26" s="24">
        <v>65</v>
      </c>
      <c r="Q26" s="21" t="s">
        <v>695</v>
      </c>
      <c r="R26" s="24">
        <v>65</v>
      </c>
      <c r="S26" s="21" t="s">
        <v>696</v>
      </c>
      <c r="T26" s="21" t="s">
        <v>720</v>
      </c>
      <c r="U26" s="23">
        <v>3</v>
      </c>
      <c r="V26" s="23">
        <v>3</v>
      </c>
      <c r="W26" s="373" t="s">
        <v>721</v>
      </c>
      <c r="X26" s="24">
        <v>40</v>
      </c>
      <c r="Y26" s="21"/>
      <c r="Z26" s="22"/>
      <c r="AA26" s="24"/>
      <c r="AB26" s="24">
        <v>40</v>
      </c>
      <c r="AC26" s="373" t="s">
        <v>721</v>
      </c>
      <c r="AD26" s="24">
        <v>40</v>
      </c>
      <c r="AE26" s="24"/>
      <c r="AF26" s="23" t="s">
        <v>698</v>
      </c>
      <c r="AG26" s="373" t="s">
        <v>699</v>
      </c>
      <c r="AH26" s="22">
        <v>42991</v>
      </c>
      <c r="AI26" s="22">
        <v>42991</v>
      </c>
      <c r="AJ26" s="22">
        <v>43245</v>
      </c>
      <c r="AK26" s="22">
        <v>43245</v>
      </c>
      <c r="AL26" s="21"/>
      <c r="AM26" s="21"/>
      <c r="AN26" s="22"/>
      <c r="AO26" s="21"/>
      <c r="AP26" s="22">
        <v>43405</v>
      </c>
      <c r="AQ26" s="22">
        <v>43405</v>
      </c>
      <c r="AR26" s="22">
        <v>43405</v>
      </c>
      <c r="AS26" s="22">
        <v>43405</v>
      </c>
      <c r="AT26" s="22">
        <v>43497</v>
      </c>
      <c r="AU26" s="21"/>
      <c r="AV26" s="21"/>
    </row>
    <row r="27" spans="1:48" s="20" customFormat="1" ht="11.25" x14ac:dyDescent="0.2">
      <c r="A27" s="399"/>
      <c r="B27" s="400"/>
      <c r="C27" s="401"/>
      <c r="D27" s="402"/>
      <c r="E27" s="403"/>
      <c r="F27" s="403"/>
      <c r="G27" s="403"/>
      <c r="H27" s="403"/>
      <c r="I27" s="403"/>
      <c r="J27" s="403"/>
      <c r="K27" s="403"/>
      <c r="L27" s="404"/>
      <c r="M27" s="405"/>
      <c r="N27" s="400"/>
      <c r="O27" s="400"/>
      <c r="P27" s="406"/>
      <c r="Q27" s="401"/>
      <c r="R27" s="406"/>
      <c r="S27" s="401"/>
      <c r="T27" s="401"/>
      <c r="U27" s="399"/>
      <c r="V27" s="399"/>
      <c r="W27" s="405" t="s">
        <v>722</v>
      </c>
      <c r="X27" s="406">
        <v>60</v>
      </c>
      <c r="Y27" s="401"/>
      <c r="Z27" s="402"/>
      <c r="AA27" s="406"/>
      <c r="AB27" s="406"/>
      <c r="AC27" s="405"/>
      <c r="AD27" s="406"/>
      <c r="AE27" s="406"/>
      <c r="AF27" s="399"/>
      <c r="AG27" s="405"/>
      <c r="AH27" s="402"/>
      <c r="AI27" s="402"/>
      <c r="AJ27" s="402"/>
      <c r="AK27" s="402"/>
      <c r="AL27" s="401"/>
      <c r="AM27" s="401"/>
      <c r="AN27" s="402"/>
      <c r="AO27" s="401"/>
      <c r="AP27" s="402"/>
      <c r="AQ27" s="402"/>
      <c r="AR27" s="402"/>
      <c r="AS27" s="402"/>
      <c r="AT27" s="402"/>
      <c r="AU27" s="401"/>
      <c r="AV27" s="401"/>
    </row>
    <row r="28" spans="1:48" s="20" customFormat="1" ht="11.25" x14ac:dyDescent="0.2">
      <c r="A28" s="23"/>
      <c r="B28" s="311"/>
      <c r="C28" s="21"/>
      <c r="D28" s="22"/>
      <c r="E28" s="310"/>
      <c r="F28" s="310"/>
      <c r="G28" s="310"/>
      <c r="H28" s="310"/>
      <c r="I28" s="310"/>
      <c r="J28" s="310"/>
      <c r="K28" s="310"/>
      <c r="L28" s="372"/>
      <c r="M28" s="373"/>
      <c r="N28" s="373"/>
      <c r="O28" s="311"/>
      <c r="P28" s="24"/>
      <c r="Q28" s="21"/>
      <c r="R28" s="21"/>
      <c r="S28" s="21"/>
      <c r="T28" s="21"/>
      <c r="U28" s="23"/>
      <c r="V28" s="23"/>
      <c r="W28" s="373" t="s">
        <v>723</v>
      </c>
      <c r="X28" s="24">
        <v>65</v>
      </c>
      <c r="Y28" s="21"/>
      <c r="Z28" s="22"/>
      <c r="AA28" s="24"/>
      <c r="AB28" s="24"/>
      <c r="AC28" s="24"/>
      <c r="AD28" s="24"/>
      <c r="AE28" s="24"/>
      <c r="AF28" s="23"/>
      <c r="AG28" s="21"/>
      <c r="AH28" s="22"/>
      <c r="AI28" s="22"/>
      <c r="AJ28" s="22"/>
      <c r="AK28" s="22"/>
      <c r="AL28" s="21"/>
      <c r="AM28" s="21"/>
      <c r="AN28" s="22"/>
      <c r="AO28" s="21"/>
      <c r="AP28" s="22"/>
      <c r="AQ28" s="22"/>
      <c r="AR28" s="22"/>
      <c r="AS28" s="22"/>
      <c r="AT28" s="22"/>
      <c r="AU28" s="21"/>
      <c r="AV28" s="21"/>
    </row>
    <row r="29" spans="1:48" s="397" customFormat="1" ht="33.75" x14ac:dyDescent="0.2">
      <c r="A29" s="394">
        <v>2</v>
      </c>
      <c r="B29" s="311" t="s">
        <v>530</v>
      </c>
      <c r="C29" s="373" t="s">
        <v>60</v>
      </c>
      <c r="D29" s="395" t="str">
        <f>D26</f>
        <v>нд</v>
      </c>
      <c r="E29" s="372"/>
      <c r="F29" s="372"/>
      <c r="G29" s="372"/>
      <c r="H29" s="372"/>
      <c r="I29" s="372"/>
      <c r="J29" s="372"/>
      <c r="K29" s="372"/>
      <c r="L29" s="372" t="str">
        <f>L26</f>
        <v>ВВ-15 - 1шт.</v>
      </c>
      <c r="M29" s="373" t="s">
        <v>708</v>
      </c>
      <c r="N29" s="373" t="s">
        <v>709</v>
      </c>
      <c r="O29" s="311" t="s">
        <v>710</v>
      </c>
      <c r="P29" s="396">
        <v>900</v>
      </c>
      <c r="Q29" s="373" t="s">
        <v>711</v>
      </c>
      <c r="R29" s="373">
        <v>900</v>
      </c>
      <c r="S29" s="373" t="s">
        <v>696</v>
      </c>
      <c r="T29" s="373" t="s">
        <v>697</v>
      </c>
      <c r="U29" s="394" t="s">
        <v>60</v>
      </c>
      <c r="V29" s="394">
        <v>3</v>
      </c>
      <c r="W29" s="373" t="s">
        <v>712</v>
      </c>
      <c r="X29" s="396">
        <v>885.6</v>
      </c>
      <c r="Y29" s="373"/>
      <c r="Z29" s="395" t="s">
        <v>713</v>
      </c>
      <c r="AA29" s="396">
        <v>885.6</v>
      </c>
      <c r="AB29" s="396">
        <v>885.6</v>
      </c>
      <c r="AC29" s="396" t="s">
        <v>712</v>
      </c>
      <c r="AD29" s="396">
        <f>'8. Общие сведения'!B50*1000</f>
        <v>659.52</v>
      </c>
      <c r="AE29" s="396">
        <v>885.6</v>
      </c>
      <c r="AF29" s="394" t="s">
        <v>714</v>
      </c>
      <c r="AG29" s="373" t="s">
        <v>715</v>
      </c>
      <c r="AH29" s="395">
        <v>43630</v>
      </c>
      <c r="AI29" s="395">
        <v>43630</v>
      </c>
      <c r="AJ29" s="395">
        <v>43642</v>
      </c>
      <c r="AK29" s="395">
        <v>43663</v>
      </c>
      <c r="AL29" s="373"/>
      <c r="AM29" s="373"/>
      <c r="AN29" s="395"/>
      <c r="AO29" s="373"/>
      <c r="AP29" s="395"/>
      <c r="AQ29" s="395"/>
      <c r="AR29" s="395"/>
      <c r="AS29" s="395"/>
      <c r="AT29" s="395"/>
      <c r="AU29" s="373"/>
      <c r="AV29" s="373"/>
    </row>
    <row r="30" spans="1:48" s="397" customFormat="1" ht="11.25" x14ac:dyDescent="0.2">
      <c r="A30" s="394"/>
      <c r="B30" s="311"/>
      <c r="C30" s="373"/>
      <c r="D30" s="395"/>
      <c r="E30" s="372"/>
      <c r="F30" s="372"/>
      <c r="G30" s="372"/>
      <c r="H30" s="372"/>
      <c r="I30" s="372"/>
      <c r="J30" s="372"/>
      <c r="K30" s="372"/>
      <c r="L30" s="372"/>
      <c r="M30" s="373"/>
      <c r="N30" s="373"/>
      <c r="O30" s="311"/>
      <c r="P30" s="396"/>
      <c r="Q30" s="373"/>
      <c r="R30" s="373"/>
      <c r="S30" s="373"/>
      <c r="T30" s="373"/>
      <c r="U30" s="394"/>
      <c r="V30" s="394"/>
      <c r="W30" s="373" t="s">
        <v>716</v>
      </c>
      <c r="X30" s="396">
        <v>900</v>
      </c>
      <c r="Y30" s="373"/>
      <c r="Z30" s="395"/>
      <c r="AA30" s="396">
        <v>900</v>
      </c>
      <c r="AB30" s="396"/>
      <c r="AC30" s="396"/>
      <c r="AD30" s="396"/>
      <c r="AE30" s="396"/>
      <c r="AF30" s="394"/>
      <c r="AG30" s="373"/>
      <c r="AH30" s="395"/>
      <c r="AI30" s="395"/>
      <c r="AJ30" s="395"/>
      <c r="AK30" s="395"/>
      <c r="AL30" s="373"/>
      <c r="AM30" s="373"/>
      <c r="AN30" s="395"/>
      <c r="AO30" s="373"/>
      <c r="AP30" s="395"/>
      <c r="AQ30" s="395"/>
      <c r="AR30" s="395"/>
      <c r="AS30" s="395"/>
      <c r="AT30" s="395"/>
      <c r="AU30" s="373"/>
      <c r="AV30" s="373"/>
    </row>
    <row r="31" spans="1:48" s="397" customFormat="1" ht="22.5" x14ac:dyDescent="0.2">
      <c r="A31" s="394"/>
      <c r="B31" s="311"/>
      <c r="C31" s="373"/>
      <c r="D31" s="395"/>
      <c r="E31" s="372"/>
      <c r="F31" s="372"/>
      <c r="G31" s="372"/>
      <c r="H31" s="372"/>
      <c r="I31" s="372"/>
      <c r="J31" s="372"/>
      <c r="K31" s="372"/>
      <c r="L31" s="372"/>
      <c r="M31" s="373"/>
      <c r="N31" s="373"/>
      <c r="O31" s="311"/>
      <c r="P31" s="396"/>
      <c r="Q31" s="373"/>
      <c r="R31" s="373"/>
      <c r="S31" s="373"/>
      <c r="T31" s="373"/>
      <c r="U31" s="394"/>
      <c r="V31" s="394"/>
      <c r="W31" s="373" t="s">
        <v>717</v>
      </c>
      <c r="X31" s="396"/>
      <c r="Y31" s="373" t="s">
        <v>717</v>
      </c>
      <c r="Z31" s="395"/>
      <c r="AA31" s="396"/>
      <c r="AB31" s="396"/>
      <c r="AC31" s="396"/>
      <c r="AD31" s="396"/>
      <c r="AE31" s="396"/>
      <c r="AF31" s="394"/>
      <c r="AG31" s="373"/>
      <c r="AH31" s="395"/>
      <c r="AI31" s="395"/>
      <c r="AJ31" s="395"/>
      <c r="AK31" s="395"/>
      <c r="AL31" s="373"/>
      <c r="AM31" s="373"/>
      <c r="AN31" s="395"/>
      <c r="AO31" s="373"/>
      <c r="AP31" s="395"/>
      <c r="AQ31" s="395"/>
      <c r="AR31" s="395"/>
      <c r="AS31" s="395"/>
      <c r="AT31" s="395"/>
      <c r="AU31" s="373"/>
      <c r="AV31" s="373"/>
    </row>
    <row r="32" spans="1:48" x14ac:dyDescent="0.25">
      <c r="AD32" s="398">
        <f>SUM(AD26:AD31)</f>
        <v>699.52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zoomScale="90" zoomScaleNormal="90" zoomScaleSheetLayoutView="90" workbookViewId="0">
      <selection activeCell="A75" sqref="A75"/>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4" t="str">
        <f>'1. паспорт местоположение'!A5:C5</f>
        <v>Год раскрытия информации: 2022 год</v>
      </c>
      <c r="B5" s="534"/>
      <c r="C5" s="85"/>
      <c r="D5" s="85"/>
      <c r="E5" s="85"/>
      <c r="F5" s="85"/>
      <c r="G5" s="85"/>
      <c r="H5" s="85"/>
    </row>
    <row r="6" spans="1:8" ht="18.75" x14ac:dyDescent="0.3">
      <c r="A6" s="263"/>
      <c r="B6" s="263"/>
      <c r="C6" s="263"/>
      <c r="D6" s="263"/>
      <c r="E6" s="263"/>
      <c r="F6" s="263"/>
      <c r="G6" s="263"/>
      <c r="H6" s="263"/>
    </row>
    <row r="7" spans="1:8" ht="18.75" x14ac:dyDescent="0.25">
      <c r="A7" s="426" t="s">
        <v>7</v>
      </c>
      <c r="B7" s="426"/>
      <c r="C7" s="154"/>
      <c r="D7" s="154"/>
      <c r="E7" s="154"/>
      <c r="F7" s="154"/>
      <c r="G7" s="154"/>
      <c r="H7" s="154"/>
    </row>
    <row r="8" spans="1:8" ht="18.75" x14ac:dyDescent="0.25">
      <c r="A8" s="154"/>
      <c r="B8" s="154"/>
      <c r="C8" s="154"/>
      <c r="D8" s="154"/>
      <c r="E8" s="154"/>
      <c r="F8" s="154"/>
      <c r="G8" s="154"/>
      <c r="H8" s="154"/>
    </row>
    <row r="9" spans="1:8" x14ac:dyDescent="0.25">
      <c r="A9" s="420" t="str">
        <f>'1. паспорт местоположение'!A9:C9</f>
        <v>Акционерное общество "Янтарьэнерго" ДЗО  ПАО "Россети"</v>
      </c>
      <c r="B9" s="420"/>
      <c r="C9" s="170"/>
      <c r="D9" s="170"/>
      <c r="E9" s="170"/>
      <c r="F9" s="170"/>
      <c r="G9" s="170"/>
      <c r="H9" s="170"/>
    </row>
    <row r="10" spans="1:8" x14ac:dyDescent="0.25">
      <c r="A10" s="422" t="s">
        <v>6</v>
      </c>
      <c r="B10" s="422"/>
      <c r="C10" s="156"/>
      <c r="D10" s="156"/>
      <c r="E10" s="156"/>
      <c r="F10" s="156"/>
      <c r="G10" s="156"/>
      <c r="H10" s="156"/>
    </row>
    <row r="11" spans="1:8" ht="18.75" x14ac:dyDescent="0.25">
      <c r="A11" s="154"/>
      <c r="B11" s="154"/>
      <c r="C11" s="154"/>
      <c r="D11" s="154"/>
      <c r="E11" s="154"/>
      <c r="F11" s="154"/>
      <c r="G11" s="154"/>
      <c r="H11" s="154"/>
    </row>
    <row r="12" spans="1:8" x14ac:dyDescent="0.25">
      <c r="A12" s="420" t="str">
        <f>'1. паспорт местоположение'!A12:C12</f>
        <v>I_16-0064</v>
      </c>
      <c r="B12" s="420"/>
      <c r="C12" s="170"/>
      <c r="D12" s="170"/>
      <c r="E12" s="170"/>
      <c r="F12" s="170"/>
      <c r="G12" s="170"/>
      <c r="H12" s="170"/>
    </row>
    <row r="13" spans="1:8" x14ac:dyDescent="0.25">
      <c r="A13" s="422" t="s">
        <v>5</v>
      </c>
      <c r="B13" s="422"/>
      <c r="C13" s="156"/>
      <c r="D13" s="156"/>
      <c r="E13" s="156"/>
      <c r="F13" s="156"/>
      <c r="G13" s="156"/>
      <c r="H13" s="156"/>
    </row>
    <row r="14" spans="1:8" ht="18.75" x14ac:dyDescent="0.25">
      <c r="A14" s="11"/>
      <c r="B14" s="11"/>
      <c r="C14" s="11"/>
      <c r="D14" s="11"/>
      <c r="E14" s="11"/>
      <c r="F14" s="11"/>
      <c r="G14" s="11"/>
      <c r="H14" s="11"/>
    </row>
    <row r="15" spans="1:8" x14ac:dyDescent="0.25">
      <c r="A15" s="535" t="str">
        <f>'1. паспорт местоположение'!A15:C15</f>
        <v>Реконструкция ЗРУ 15 кВ ПС О-35 "Космодемьяновская" с установкой в резервной ячейке вакуумного выключателя на 2-ой секции 15 кВ (инв.№ 5146310)</v>
      </c>
      <c r="B15" s="420"/>
      <c r="C15" s="170"/>
      <c r="D15" s="170"/>
      <c r="E15" s="170"/>
      <c r="F15" s="170"/>
      <c r="G15" s="170"/>
      <c r="H15" s="170"/>
    </row>
    <row r="16" spans="1:8" x14ac:dyDescent="0.25">
      <c r="A16" s="422" t="s">
        <v>4</v>
      </c>
      <c r="B16" s="422"/>
      <c r="C16" s="156"/>
      <c r="D16" s="156"/>
      <c r="E16" s="156"/>
      <c r="F16" s="156"/>
      <c r="G16" s="156"/>
      <c r="H16" s="156"/>
    </row>
    <row r="17" spans="1:2" x14ac:dyDescent="0.25">
      <c r="B17" s="123"/>
    </row>
    <row r="18" spans="1:2" x14ac:dyDescent="0.25">
      <c r="A18" s="536" t="s">
        <v>510</v>
      </c>
      <c r="B18" s="537"/>
    </row>
    <row r="19" spans="1:2" x14ac:dyDescent="0.25">
      <c r="B19" s="43"/>
    </row>
    <row r="20" spans="1:2" ht="16.5" thickBot="1" x14ac:dyDescent="0.3">
      <c r="B20" s="124"/>
    </row>
    <row r="21" spans="1:2" ht="45.75" thickBot="1" x14ac:dyDescent="0.3">
      <c r="A21" s="125" t="s">
        <v>380</v>
      </c>
      <c r="B21" s="127" t="str">
        <f>A15</f>
        <v>Реконструкция ЗРУ 15 кВ ПС О-35 "Космодемьяновская" с установкой в резервной ячейке вакуумного выключателя на 2-ой секции 15 кВ (инв.№ 5146310)</v>
      </c>
    </row>
    <row r="22" spans="1:2" ht="16.5" thickBot="1" x14ac:dyDescent="0.3">
      <c r="A22" s="125" t="s">
        <v>381</v>
      </c>
      <c r="B22" s="126" t="str">
        <f>CONCATENATE('1. паспорт местоположение'!C26,", ",'1. паспорт местоположение'!C27)</f>
        <v>Калининградская область, Гусевский городской округ</v>
      </c>
    </row>
    <row r="23" spans="1:2" ht="16.5" thickBot="1" x14ac:dyDescent="0.3">
      <c r="A23" s="125" t="s">
        <v>346</v>
      </c>
      <c r="B23" s="127" t="s">
        <v>686</v>
      </c>
    </row>
    <row r="24" spans="1:2" ht="16.5" thickBot="1" x14ac:dyDescent="0.3">
      <c r="A24" s="125" t="s">
        <v>382</v>
      </c>
      <c r="B24" s="127">
        <v>0</v>
      </c>
    </row>
    <row r="25" spans="1:2" ht="16.5" thickBot="1" x14ac:dyDescent="0.3">
      <c r="A25" s="128" t="s">
        <v>383</v>
      </c>
      <c r="B25" s="126" t="s">
        <v>644</v>
      </c>
    </row>
    <row r="26" spans="1:2" ht="16.5" thickBot="1" x14ac:dyDescent="0.3">
      <c r="A26" s="129" t="s">
        <v>384</v>
      </c>
      <c r="B26" s="127" t="s">
        <v>701</v>
      </c>
    </row>
    <row r="27" spans="1:2" ht="29.25" thickBot="1" x14ac:dyDescent="0.3">
      <c r="A27" s="136" t="s">
        <v>687</v>
      </c>
      <c r="B27" s="262">
        <f>'5. анализ эконом эфф'!B122</f>
        <v>1.5156302399999999</v>
      </c>
    </row>
    <row r="28" spans="1:2" ht="16.5" thickBot="1" x14ac:dyDescent="0.3">
      <c r="A28" s="131" t="s">
        <v>385</v>
      </c>
      <c r="B28" s="379" t="s">
        <v>700</v>
      </c>
    </row>
    <row r="29" spans="1:2" ht="29.25" thickBot="1" x14ac:dyDescent="0.3">
      <c r="A29" s="137" t="s">
        <v>386</v>
      </c>
      <c r="B29" s="376">
        <f>'7. Паспорт отчет о закупке'!AD32/1000</f>
        <v>0.69952000000000003</v>
      </c>
    </row>
    <row r="30" spans="1:2" ht="29.25" thickBot="1" x14ac:dyDescent="0.3">
      <c r="A30" s="137" t="s">
        <v>387</v>
      </c>
      <c r="B30" s="376">
        <f>B32+B49+B66</f>
        <v>1.5904199999999999</v>
      </c>
    </row>
    <row r="31" spans="1:2" ht="16.5" thickBot="1" x14ac:dyDescent="0.3">
      <c r="A31" s="131" t="s">
        <v>388</v>
      </c>
      <c r="B31" s="376"/>
    </row>
    <row r="32" spans="1:2" ht="29.25" thickBot="1" x14ac:dyDescent="0.3">
      <c r="A32" s="137" t="s">
        <v>389</v>
      </c>
      <c r="B32" s="376">
        <f>B33+B45</f>
        <v>0</v>
      </c>
    </row>
    <row r="33" spans="1:3" s="267" customFormat="1" ht="16.5" thickBot="1" x14ac:dyDescent="0.3">
      <c r="A33" s="278" t="s">
        <v>390</v>
      </c>
      <c r="B33" s="377">
        <v>0</v>
      </c>
    </row>
    <row r="34" spans="1:3" ht="16.5" thickBot="1" x14ac:dyDescent="0.3">
      <c r="A34" s="131" t="s">
        <v>391</v>
      </c>
      <c r="B34" s="268">
        <f>B33/$B$27</f>
        <v>0</v>
      </c>
    </row>
    <row r="35" spans="1:3" ht="16.5" thickBot="1" x14ac:dyDescent="0.3">
      <c r="A35" s="131" t="s">
        <v>392</v>
      </c>
      <c r="B35" s="376">
        <v>0</v>
      </c>
      <c r="C35" s="122">
        <v>1</v>
      </c>
    </row>
    <row r="36" spans="1:3" ht="16.5" thickBot="1" x14ac:dyDescent="0.3">
      <c r="A36" s="131" t="s">
        <v>393</v>
      </c>
      <c r="B36" s="376">
        <v>0</v>
      </c>
      <c r="C36" s="122">
        <v>2</v>
      </c>
    </row>
    <row r="37" spans="1:3" s="267" customFormat="1" ht="16.5" thickBot="1" x14ac:dyDescent="0.3">
      <c r="A37" s="278" t="s">
        <v>390</v>
      </c>
      <c r="B37" s="377">
        <v>0</v>
      </c>
    </row>
    <row r="38" spans="1:3" ht="16.5" thickBot="1" x14ac:dyDescent="0.3">
      <c r="A38" s="131" t="s">
        <v>391</v>
      </c>
      <c r="B38" s="268">
        <f>B37/$B$27</f>
        <v>0</v>
      </c>
    </row>
    <row r="39" spans="1:3" ht="16.5" thickBot="1" x14ac:dyDescent="0.3">
      <c r="A39" s="131" t="s">
        <v>392</v>
      </c>
      <c r="B39" s="376">
        <v>0</v>
      </c>
      <c r="C39" s="122">
        <v>1</v>
      </c>
    </row>
    <row r="40" spans="1:3" ht="16.5" thickBot="1" x14ac:dyDescent="0.3">
      <c r="A40" s="131" t="s">
        <v>393</v>
      </c>
      <c r="B40" s="376">
        <v>0</v>
      </c>
      <c r="C40" s="122">
        <v>2</v>
      </c>
    </row>
    <row r="41" spans="1:3" s="267" customFormat="1" ht="16.5" thickBot="1" x14ac:dyDescent="0.3">
      <c r="A41" s="278" t="s">
        <v>390</v>
      </c>
      <c r="B41" s="377">
        <v>0</v>
      </c>
    </row>
    <row r="42" spans="1:3" ht="16.5" thickBot="1" x14ac:dyDescent="0.3">
      <c r="A42" s="131" t="s">
        <v>391</v>
      </c>
      <c r="B42" s="268">
        <f>B41/$B$27</f>
        <v>0</v>
      </c>
    </row>
    <row r="43" spans="1:3" ht="16.5" thickBot="1" x14ac:dyDescent="0.3">
      <c r="A43" s="131" t="s">
        <v>392</v>
      </c>
      <c r="B43" s="376">
        <v>0</v>
      </c>
      <c r="C43" s="122">
        <v>1</v>
      </c>
    </row>
    <row r="44" spans="1:3" ht="16.5" thickBot="1" x14ac:dyDescent="0.3">
      <c r="A44" s="131" t="s">
        <v>393</v>
      </c>
      <c r="B44" s="376">
        <v>0</v>
      </c>
      <c r="C44" s="122">
        <v>2</v>
      </c>
    </row>
    <row r="45" spans="1:3" s="267" customFormat="1" ht="16.5" thickBot="1" x14ac:dyDescent="0.3">
      <c r="A45" s="278" t="s">
        <v>390</v>
      </c>
      <c r="B45" s="377">
        <v>0</v>
      </c>
    </row>
    <row r="46" spans="1:3" ht="16.5" thickBot="1" x14ac:dyDescent="0.3">
      <c r="A46" s="131" t="s">
        <v>391</v>
      </c>
      <c r="B46" s="268">
        <f>B45/$B$27</f>
        <v>0</v>
      </c>
    </row>
    <row r="47" spans="1:3" ht="16.5" thickBot="1" x14ac:dyDescent="0.3">
      <c r="A47" s="131" t="s">
        <v>392</v>
      </c>
      <c r="B47" s="376">
        <v>0</v>
      </c>
      <c r="C47" s="122">
        <v>1</v>
      </c>
    </row>
    <row r="48" spans="1:3" ht="16.5" thickBot="1" x14ac:dyDescent="0.3">
      <c r="A48" s="131" t="s">
        <v>393</v>
      </c>
      <c r="B48" s="376">
        <v>0</v>
      </c>
      <c r="C48" s="122">
        <v>2</v>
      </c>
    </row>
    <row r="49" spans="1:3" ht="29.25" thickBot="1" x14ac:dyDescent="0.3">
      <c r="A49" s="137" t="s">
        <v>394</v>
      </c>
      <c r="B49" s="376">
        <f>B50+B54+B58+B62</f>
        <v>0.65952</v>
      </c>
    </row>
    <row r="50" spans="1:3" s="267" customFormat="1" ht="30.75" thickBot="1" x14ac:dyDescent="0.3">
      <c r="A50" s="392" t="s">
        <v>706</v>
      </c>
      <c r="B50" s="393">
        <f>0.5496*1.2</f>
        <v>0.65952</v>
      </c>
    </row>
    <row r="51" spans="1:3" ht="16.5" thickBot="1" x14ac:dyDescent="0.3">
      <c r="A51" s="131" t="s">
        <v>391</v>
      </c>
      <c r="B51" s="268">
        <f>B50/$B$27</f>
        <v>0.4351457120570516</v>
      </c>
    </row>
    <row r="52" spans="1:3" ht="16.5" thickBot="1" x14ac:dyDescent="0.3">
      <c r="A52" s="131" t="s">
        <v>392</v>
      </c>
      <c r="B52" s="376">
        <v>0.65952</v>
      </c>
      <c r="C52" s="122">
        <v>1</v>
      </c>
    </row>
    <row r="53" spans="1:3" ht="16.5" thickBot="1" x14ac:dyDescent="0.3">
      <c r="A53" s="131" t="s">
        <v>393</v>
      </c>
      <c r="B53" s="376">
        <v>0.65952</v>
      </c>
      <c r="C53" s="122">
        <v>2</v>
      </c>
    </row>
    <row r="54" spans="1:3" s="267" customFormat="1" ht="16.5" thickBot="1" x14ac:dyDescent="0.3">
      <c r="A54" s="278" t="s">
        <v>390</v>
      </c>
      <c r="B54" s="377">
        <v>0</v>
      </c>
    </row>
    <row r="55" spans="1:3" ht="16.5" thickBot="1" x14ac:dyDescent="0.3">
      <c r="A55" s="131" t="s">
        <v>391</v>
      </c>
      <c r="B55" s="268">
        <f>B54/$B$27</f>
        <v>0</v>
      </c>
    </row>
    <row r="56" spans="1:3" ht="16.5" thickBot="1" x14ac:dyDescent="0.3">
      <c r="A56" s="131" t="s">
        <v>392</v>
      </c>
      <c r="B56" s="376">
        <v>0</v>
      </c>
      <c r="C56" s="122">
        <v>1</v>
      </c>
    </row>
    <row r="57" spans="1:3" ht="16.5" thickBot="1" x14ac:dyDescent="0.3">
      <c r="A57" s="131" t="s">
        <v>393</v>
      </c>
      <c r="B57" s="376">
        <v>0</v>
      </c>
      <c r="C57" s="122">
        <v>2</v>
      </c>
    </row>
    <row r="58" spans="1:3" s="267" customFormat="1" ht="16.5" thickBot="1" x14ac:dyDescent="0.3">
      <c r="A58" s="278" t="s">
        <v>390</v>
      </c>
      <c r="B58" s="377">
        <v>0</v>
      </c>
    </row>
    <row r="59" spans="1:3" ht="16.5" thickBot="1" x14ac:dyDescent="0.3">
      <c r="A59" s="131" t="s">
        <v>391</v>
      </c>
      <c r="B59" s="268">
        <f>B58/$B$27</f>
        <v>0</v>
      </c>
    </row>
    <row r="60" spans="1:3" ht="16.5" thickBot="1" x14ac:dyDescent="0.3">
      <c r="A60" s="131" t="s">
        <v>392</v>
      </c>
      <c r="B60" s="376">
        <v>0</v>
      </c>
      <c r="C60" s="122">
        <v>1</v>
      </c>
    </row>
    <row r="61" spans="1:3" ht="16.5" thickBot="1" x14ac:dyDescent="0.3">
      <c r="A61" s="131" t="s">
        <v>393</v>
      </c>
      <c r="B61" s="376">
        <v>0</v>
      </c>
      <c r="C61" s="122">
        <v>2</v>
      </c>
    </row>
    <row r="62" spans="1:3" s="267" customFormat="1" ht="16.5" thickBot="1" x14ac:dyDescent="0.3">
      <c r="A62" s="278" t="s">
        <v>390</v>
      </c>
      <c r="B62" s="377">
        <v>0</v>
      </c>
    </row>
    <row r="63" spans="1:3" ht="16.5" thickBot="1" x14ac:dyDescent="0.3">
      <c r="A63" s="131" t="s">
        <v>391</v>
      </c>
      <c r="B63" s="268">
        <f>B62/$B$27</f>
        <v>0</v>
      </c>
    </row>
    <row r="64" spans="1:3" ht="16.5" thickBot="1" x14ac:dyDescent="0.3">
      <c r="A64" s="131" t="s">
        <v>392</v>
      </c>
      <c r="B64" s="376">
        <v>0</v>
      </c>
      <c r="C64" s="122">
        <v>1</v>
      </c>
    </row>
    <row r="65" spans="1:3" ht="16.5" thickBot="1" x14ac:dyDescent="0.3">
      <c r="A65" s="131" t="s">
        <v>393</v>
      </c>
      <c r="B65" s="376">
        <v>0</v>
      </c>
      <c r="C65" s="122">
        <v>2</v>
      </c>
    </row>
    <row r="66" spans="1:3" ht="29.25" thickBot="1" x14ac:dyDescent="0.3">
      <c r="A66" s="137" t="s">
        <v>395</v>
      </c>
      <c r="B66" s="376">
        <f>B67+B71+B75+B79</f>
        <v>0.93090000000000006</v>
      </c>
    </row>
    <row r="67" spans="1:3" s="267" customFormat="1" ht="30.75" thickBot="1" x14ac:dyDescent="0.3">
      <c r="A67" s="392" t="s">
        <v>688</v>
      </c>
      <c r="B67" s="393">
        <f>40000/1000000</f>
        <v>0.04</v>
      </c>
    </row>
    <row r="68" spans="1:3" ht="16.5" thickBot="1" x14ac:dyDescent="0.3">
      <c r="A68" s="131" t="s">
        <v>391</v>
      </c>
      <c r="B68" s="268">
        <f>B67/$B$27</f>
        <v>2.6391661332911914E-2</v>
      </c>
    </row>
    <row r="69" spans="1:3" ht="16.5" thickBot="1" x14ac:dyDescent="0.3">
      <c r="A69" s="131" t="s">
        <v>392</v>
      </c>
      <c r="B69" s="376">
        <v>0</v>
      </c>
      <c r="C69" s="122">
        <v>1</v>
      </c>
    </row>
    <row r="70" spans="1:3" ht="16.5" thickBot="1" x14ac:dyDescent="0.3">
      <c r="A70" s="131" t="s">
        <v>393</v>
      </c>
      <c r="B70" s="376">
        <v>0</v>
      </c>
      <c r="C70" s="122">
        <v>2</v>
      </c>
    </row>
    <row r="71" spans="1:3" s="267" customFormat="1" ht="30.75" thickBot="1" x14ac:dyDescent="0.3">
      <c r="A71" s="392" t="s">
        <v>689</v>
      </c>
      <c r="B71" s="393">
        <f>900/1000000</f>
        <v>8.9999999999999998E-4</v>
      </c>
    </row>
    <row r="72" spans="1:3" ht="16.5" thickBot="1" x14ac:dyDescent="0.3">
      <c r="A72" s="131" t="s">
        <v>391</v>
      </c>
      <c r="B72" s="268">
        <f>B71/$B$27</f>
        <v>5.9381237999051799E-4</v>
      </c>
    </row>
    <row r="73" spans="1:3" ht="16.5" thickBot="1" x14ac:dyDescent="0.3">
      <c r="A73" s="131" t="s">
        <v>392</v>
      </c>
      <c r="B73" s="376">
        <f>900/1000000</f>
        <v>8.9999999999999998E-4</v>
      </c>
      <c r="C73" s="122">
        <v>1</v>
      </c>
    </row>
    <row r="74" spans="1:3" ht="16.5" thickBot="1" x14ac:dyDescent="0.3">
      <c r="A74" s="131" t="s">
        <v>393</v>
      </c>
      <c r="B74" s="376">
        <f>900/1000000</f>
        <v>8.9999999999999998E-4</v>
      </c>
      <c r="C74" s="122">
        <v>2</v>
      </c>
    </row>
    <row r="75" spans="1:3" s="267" customFormat="1" ht="30.75" thickBot="1" x14ac:dyDescent="0.3">
      <c r="A75" s="392" t="s">
        <v>724</v>
      </c>
      <c r="B75" s="393">
        <v>0.89</v>
      </c>
    </row>
    <row r="76" spans="1:3" ht="16.5" thickBot="1" x14ac:dyDescent="0.3">
      <c r="A76" s="131" t="s">
        <v>391</v>
      </c>
      <c r="B76" s="268">
        <f>B75/$B$27</f>
        <v>0.5872144646572901</v>
      </c>
    </row>
    <row r="77" spans="1:3" ht="16.5" thickBot="1" x14ac:dyDescent="0.3">
      <c r="A77" s="131" t="s">
        <v>392</v>
      </c>
      <c r="B77" s="376">
        <v>0.89</v>
      </c>
      <c r="C77" s="122">
        <v>1</v>
      </c>
    </row>
    <row r="78" spans="1:3" ht="16.5" thickBot="1" x14ac:dyDescent="0.3">
      <c r="A78" s="131" t="s">
        <v>393</v>
      </c>
      <c r="B78" s="376">
        <v>0.89</v>
      </c>
      <c r="C78" s="122">
        <v>2</v>
      </c>
    </row>
    <row r="79" spans="1:3" s="267" customFormat="1" ht="16.5" thickBot="1" x14ac:dyDescent="0.3">
      <c r="A79" s="278" t="s">
        <v>390</v>
      </c>
      <c r="B79" s="377">
        <v>0</v>
      </c>
    </row>
    <row r="80" spans="1:3" ht="16.5" thickBot="1" x14ac:dyDescent="0.3">
      <c r="A80" s="131" t="s">
        <v>391</v>
      </c>
      <c r="B80" s="268">
        <f>B79/$B$27</f>
        <v>0</v>
      </c>
    </row>
    <row r="81" spans="1:3" ht="16.5" thickBot="1" x14ac:dyDescent="0.3">
      <c r="A81" s="131" t="s">
        <v>392</v>
      </c>
      <c r="B81" s="376">
        <v>0</v>
      </c>
      <c r="C81" s="122">
        <v>1</v>
      </c>
    </row>
    <row r="82" spans="1:3" ht="16.5" thickBot="1" x14ac:dyDescent="0.3">
      <c r="A82" s="131" t="s">
        <v>393</v>
      </c>
      <c r="B82" s="376">
        <v>0</v>
      </c>
      <c r="C82" s="122">
        <v>2</v>
      </c>
    </row>
    <row r="83" spans="1:3" ht="29.25" thickBot="1" x14ac:dyDescent="0.3">
      <c r="A83" s="130" t="s">
        <v>396</v>
      </c>
      <c r="B83" s="269">
        <f>B30/B27</f>
        <v>1.049345650427244</v>
      </c>
    </row>
    <row r="84" spans="1:3" ht="16.5" thickBot="1" x14ac:dyDescent="0.3">
      <c r="A84" s="132" t="s">
        <v>388</v>
      </c>
      <c r="B84" s="269"/>
    </row>
    <row r="85" spans="1:3" ht="16.5" thickBot="1" x14ac:dyDescent="0.3">
      <c r="A85" s="132" t="s">
        <v>397</v>
      </c>
      <c r="B85" s="269"/>
    </row>
    <row r="86" spans="1:3" ht="16.5" thickBot="1" x14ac:dyDescent="0.3">
      <c r="A86" s="132" t="s">
        <v>398</v>
      </c>
      <c r="B86" s="269"/>
    </row>
    <row r="87" spans="1:3" ht="16.5" thickBot="1" x14ac:dyDescent="0.3">
      <c r="A87" s="132" t="s">
        <v>399</v>
      </c>
      <c r="B87" s="269">
        <f>B67/B27</f>
        <v>2.6391661332911914E-2</v>
      </c>
    </row>
    <row r="88" spans="1:3" ht="16.5" thickBot="1" x14ac:dyDescent="0.3">
      <c r="A88" s="128" t="s">
        <v>400</v>
      </c>
      <c r="B88" s="269">
        <f>B89/$B$27</f>
        <v>1.0229539890943322</v>
      </c>
    </row>
    <row r="89" spans="1:3" ht="16.5" thickBot="1" x14ac:dyDescent="0.3">
      <c r="A89" s="128" t="s">
        <v>401</v>
      </c>
      <c r="B89" s="386">
        <f xml:space="preserve"> SUMIF(C33:C82, 1,B33:B82)</f>
        <v>1.5504199999999999</v>
      </c>
    </row>
    <row r="90" spans="1:3" ht="16.5" thickBot="1" x14ac:dyDescent="0.3">
      <c r="A90" s="128" t="s">
        <v>402</v>
      </c>
      <c r="B90" s="269">
        <f>B91/$B$27</f>
        <v>1.0229539890943322</v>
      </c>
    </row>
    <row r="91" spans="1:3" ht="16.5" thickBot="1" x14ac:dyDescent="0.3">
      <c r="A91" s="129" t="s">
        <v>403</v>
      </c>
      <c r="B91" s="386">
        <f xml:space="preserve"> SUMIF(C35:C84, 2,B35:B84)</f>
        <v>1.5504199999999999</v>
      </c>
    </row>
    <row r="92" spans="1:3" ht="15.6" customHeight="1" x14ac:dyDescent="0.25">
      <c r="A92" s="130" t="s">
        <v>404</v>
      </c>
      <c r="B92" s="132" t="s">
        <v>405</v>
      </c>
    </row>
    <row r="93" spans="1:3" x14ac:dyDescent="0.25">
      <c r="A93" s="134" t="s">
        <v>406</v>
      </c>
      <c r="B93" s="134" t="s">
        <v>530</v>
      </c>
    </row>
    <row r="94" spans="1:3" ht="30" x14ac:dyDescent="0.25">
      <c r="A94" s="134" t="s">
        <v>407</v>
      </c>
      <c r="B94" s="134" t="s">
        <v>725</v>
      </c>
    </row>
    <row r="95" spans="1:3" x14ac:dyDescent="0.25">
      <c r="A95" s="134" t="s">
        <v>408</v>
      </c>
      <c r="B95" s="134"/>
    </row>
    <row r="96" spans="1:3" x14ac:dyDescent="0.25">
      <c r="A96" s="134" t="s">
        <v>409</v>
      </c>
      <c r="B96" s="134"/>
    </row>
    <row r="97" spans="1:2" ht="16.5" thickBot="1" x14ac:dyDescent="0.3">
      <c r="A97" s="135" t="s">
        <v>410</v>
      </c>
      <c r="B97" s="135" t="s">
        <v>707</v>
      </c>
    </row>
    <row r="98" spans="1:2" ht="30.75" thickBot="1" x14ac:dyDescent="0.3">
      <c r="A98" s="132" t="s">
        <v>411</v>
      </c>
      <c r="B98" s="133" t="s">
        <v>644</v>
      </c>
    </row>
    <row r="99" spans="1:2" ht="29.25" thickBot="1" x14ac:dyDescent="0.3">
      <c r="A99" s="128" t="s">
        <v>412</v>
      </c>
      <c r="B99" s="379">
        <v>7</v>
      </c>
    </row>
    <row r="100" spans="1:2" ht="16.5" thickBot="1" x14ac:dyDescent="0.3">
      <c r="A100" s="132" t="s">
        <v>388</v>
      </c>
      <c r="B100" s="380"/>
    </row>
    <row r="101" spans="1:2" ht="16.5" thickBot="1" x14ac:dyDescent="0.3">
      <c r="A101" s="132" t="s">
        <v>413</v>
      </c>
      <c r="B101" s="379">
        <v>4</v>
      </c>
    </row>
    <row r="102" spans="1:2" ht="16.5" thickBot="1" x14ac:dyDescent="0.3">
      <c r="A102" s="132" t="s">
        <v>414</v>
      </c>
      <c r="B102" s="380">
        <v>3</v>
      </c>
    </row>
    <row r="103" spans="1:2" ht="16.5" thickBot="1" x14ac:dyDescent="0.3">
      <c r="A103" s="140" t="s">
        <v>415</v>
      </c>
      <c r="B103" s="58" t="s">
        <v>683</v>
      </c>
    </row>
    <row r="104" spans="1:2" ht="16.5" thickBot="1" x14ac:dyDescent="0.3">
      <c r="A104" s="128" t="s">
        <v>416</v>
      </c>
      <c r="B104" s="138"/>
    </row>
    <row r="105" spans="1:2" ht="16.5" thickBot="1" x14ac:dyDescent="0.3">
      <c r="A105" s="134" t="s">
        <v>417</v>
      </c>
      <c r="B105" s="388">
        <f>'6.1. Паспорт сетевой график'!F43</f>
        <v>43800</v>
      </c>
    </row>
    <row r="106" spans="1:2" ht="16.5" thickBot="1" x14ac:dyDescent="0.3">
      <c r="A106" s="134" t="s">
        <v>418</v>
      </c>
      <c r="B106" s="141" t="s">
        <v>633</v>
      </c>
    </row>
    <row r="107" spans="1:2" ht="16.5" thickBot="1" x14ac:dyDescent="0.3">
      <c r="A107" s="134" t="s">
        <v>419</v>
      </c>
      <c r="B107" s="141" t="s">
        <v>633</v>
      </c>
    </row>
    <row r="108" spans="1:2" ht="29.25" thickBot="1" x14ac:dyDescent="0.3">
      <c r="A108" s="142" t="s">
        <v>420</v>
      </c>
      <c r="B108" s="139" t="s">
        <v>670</v>
      </c>
    </row>
    <row r="109" spans="1:2" ht="28.5" x14ac:dyDescent="0.25">
      <c r="A109" s="130" t="s">
        <v>421</v>
      </c>
      <c r="B109" s="538" t="s">
        <v>633</v>
      </c>
    </row>
    <row r="110" spans="1:2" x14ac:dyDescent="0.25">
      <c r="A110" s="134" t="s">
        <v>422</v>
      </c>
      <c r="B110" s="539"/>
    </row>
    <row r="111" spans="1:2" x14ac:dyDescent="0.25">
      <c r="A111" s="134" t="s">
        <v>423</v>
      </c>
      <c r="B111" s="539"/>
    </row>
    <row r="112" spans="1:2" x14ac:dyDescent="0.25">
      <c r="A112" s="134" t="s">
        <v>424</v>
      </c>
      <c r="B112" s="539"/>
    </row>
    <row r="113" spans="1:2" x14ac:dyDescent="0.25">
      <c r="A113" s="134" t="s">
        <v>425</v>
      </c>
      <c r="B113" s="539"/>
    </row>
    <row r="114" spans="1:2" ht="16.5" thickBot="1" x14ac:dyDescent="0.3">
      <c r="A114" s="143" t="s">
        <v>426</v>
      </c>
      <c r="B114" s="540"/>
    </row>
    <row r="117" spans="1:2" x14ac:dyDescent="0.25">
      <c r="A117" s="144"/>
      <c r="B117" s="145"/>
    </row>
    <row r="118" spans="1:2" x14ac:dyDescent="0.25">
      <c r="B118" s="146"/>
    </row>
    <row r="119" spans="1:2" x14ac:dyDescent="0.25">
      <c r="B119" s="147"/>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1" t="s">
        <v>574</v>
      </c>
    </row>
    <row r="2" spans="1:1" ht="25.5" customHeight="1" x14ac:dyDescent="0.25">
      <c r="A2" s="541"/>
    </row>
    <row r="3" spans="1:1" ht="25.5" customHeight="1" x14ac:dyDescent="0.25">
      <c r="A3" s="541"/>
    </row>
    <row r="4" spans="1:1" ht="25.5" customHeight="1" x14ac:dyDescent="0.25">
      <c r="A4" s="541"/>
    </row>
    <row r="5" spans="1:1" ht="25.5" customHeight="1" x14ac:dyDescent="0.25">
      <c r="A5" s="541"/>
    </row>
    <row r="6" spans="1:1" ht="23.25" customHeight="1" x14ac:dyDescent="0.25">
      <c r="A6" s="256">
        <v>2</v>
      </c>
    </row>
    <row r="7" spans="1:1" s="114" customFormat="1" ht="23.25" customHeight="1" x14ac:dyDescent="0.25">
      <c r="A7" s="260" t="s">
        <v>575</v>
      </c>
    </row>
    <row r="8" spans="1:1" ht="31.5" customHeight="1" x14ac:dyDescent="0.25">
      <c r="A8" s="257" t="s">
        <v>584</v>
      </c>
    </row>
    <row r="9" spans="1:1" ht="45.75" customHeight="1" x14ac:dyDescent="0.25">
      <c r="A9" s="257" t="s">
        <v>585</v>
      </c>
    </row>
    <row r="10" spans="1:1" ht="33.75" customHeight="1" x14ac:dyDescent="0.25">
      <c r="A10" s="257" t="s">
        <v>586</v>
      </c>
    </row>
    <row r="11" spans="1:1" ht="23.25" customHeight="1" x14ac:dyDescent="0.25">
      <c r="A11" s="257" t="s">
        <v>587</v>
      </c>
    </row>
    <row r="12" spans="1:1" ht="23.25" customHeight="1" x14ac:dyDescent="0.25">
      <c r="A12" s="257" t="s">
        <v>588</v>
      </c>
    </row>
    <row r="13" spans="1:1" ht="33" customHeight="1" x14ac:dyDescent="0.25">
      <c r="A13" s="257" t="s">
        <v>589</v>
      </c>
    </row>
    <row r="14" spans="1:1" ht="23.25" customHeight="1" x14ac:dyDescent="0.25">
      <c r="A14" s="257" t="s">
        <v>590</v>
      </c>
    </row>
    <row r="15" spans="1:1" ht="23.25" customHeight="1" x14ac:dyDescent="0.25">
      <c r="A15" s="258" t="s">
        <v>591</v>
      </c>
    </row>
    <row r="16" spans="1:1" ht="34.5" customHeight="1" x14ac:dyDescent="0.25">
      <c r="A16" s="258" t="s">
        <v>592</v>
      </c>
    </row>
    <row r="17" spans="1:1" ht="39.75" customHeight="1" x14ac:dyDescent="0.25">
      <c r="A17" s="258" t="s">
        <v>593</v>
      </c>
    </row>
    <row r="18" spans="1:1" ht="40.5" customHeight="1" x14ac:dyDescent="0.25">
      <c r="A18" s="258" t="s">
        <v>594</v>
      </c>
    </row>
    <row r="19" spans="1:1" ht="48.75" customHeight="1" x14ac:dyDescent="0.25">
      <c r="A19" s="258" t="s">
        <v>592</v>
      </c>
    </row>
    <row r="20" spans="1:1" ht="39" customHeight="1" x14ac:dyDescent="0.25">
      <c r="A20" s="257" t="s">
        <v>593</v>
      </c>
    </row>
    <row r="21" spans="1:1" ht="39.75" customHeight="1" x14ac:dyDescent="0.25">
      <c r="A21" s="257" t="s">
        <v>595</v>
      </c>
    </row>
    <row r="22" spans="1:1" ht="35.25" customHeight="1" x14ac:dyDescent="0.25">
      <c r="A22" s="257" t="s">
        <v>596</v>
      </c>
    </row>
    <row r="23" spans="1:1" ht="35.25" customHeight="1" x14ac:dyDescent="0.25">
      <c r="A23" s="257" t="s">
        <v>597</v>
      </c>
    </row>
    <row r="24" spans="1:1" ht="57.75" customHeight="1" x14ac:dyDescent="0.25">
      <c r="A24" s="257" t="s">
        <v>598</v>
      </c>
    </row>
    <row r="25" spans="1:1" s="114" customFormat="1" ht="23.25" customHeight="1" x14ac:dyDescent="0.25">
      <c r="A25" s="260" t="s">
        <v>599</v>
      </c>
    </row>
    <row r="26" spans="1:1" ht="36.75" customHeight="1" x14ac:dyDescent="0.25">
      <c r="A26" s="257" t="s">
        <v>600</v>
      </c>
    </row>
    <row r="27" spans="1:1" ht="23.25" customHeight="1" x14ac:dyDescent="0.25">
      <c r="A27" s="257" t="s">
        <v>601</v>
      </c>
    </row>
    <row r="28" spans="1:1" ht="30.75" customHeight="1" x14ac:dyDescent="0.25">
      <c r="A28" s="257" t="s">
        <v>602</v>
      </c>
    </row>
    <row r="29" spans="1:1" s="259" customFormat="1" ht="23.25" customHeight="1" x14ac:dyDescent="0.25">
      <c r="A29" s="257" t="s">
        <v>603</v>
      </c>
    </row>
    <row r="30" spans="1:1" s="259" customFormat="1" ht="23.25" customHeight="1" x14ac:dyDescent="0.25">
      <c r="A30" s="257" t="s">
        <v>604</v>
      </c>
    </row>
    <row r="31" spans="1:1" ht="23.25" customHeight="1" x14ac:dyDescent="0.25">
      <c r="A31" s="257" t="s">
        <v>605</v>
      </c>
    </row>
    <row r="32" spans="1:1" ht="23.25" customHeight="1" x14ac:dyDescent="0.25">
      <c r="A32" s="257" t="s">
        <v>606</v>
      </c>
    </row>
    <row r="33" spans="1:1" ht="23.25" customHeight="1" x14ac:dyDescent="0.25">
      <c r="A33" s="257" t="s">
        <v>607</v>
      </c>
    </row>
    <row r="34" spans="1:1" ht="23.25" customHeight="1" x14ac:dyDescent="0.25">
      <c r="A34" s="257" t="s">
        <v>608</v>
      </c>
    </row>
    <row r="35" spans="1:1" ht="23.25" customHeight="1" x14ac:dyDescent="0.25">
      <c r="A35" s="257" t="s">
        <v>609</v>
      </c>
    </row>
    <row r="36" spans="1:1" ht="23.25" customHeight="1" x14ac:dyDescent="0.25">
      <c r="A36" s="257" t="s">
        <v>610</v>
      </c>
    </row>
    <row r="37" spans="1:1" ht="23.25" customHeight="1" x14ac:dyDescent="0.25">
      <c r="A37" s="257" t="s">
        <v>611</v>
      </c>
    </row>
    <row r="38" spans="1:1" ht="23.25" customHeight="1" x14ac:dyDescent="0.25">
      <c r="A38" s="257" t="s">
        <v>612</v>
      </c>
    </row>
    <row r="39" spans="1:1" ht="23.25" customHeight="1" x14ac:dyDescent="0.25">
      <c r="A39" s="257" t="s">
        <v>613</v>
      </c>
    </row>
    <row r="40" spans="1:1" ht="23.25" customHeight="1" x14ac:dyDescent="0.25">
      <c r="A40" s="257" t="s">
        <v>614</v>
      </c>
    </row>
    <row r="41" spans="1:1" ht="23.25" customHeight="1" x14ac:dyDescent="0.25">
      <c r="A41" s="257" t="s">
        <v>615</v>
      </c>
    </row>
    <row r="42" spans="1:1" ht="23.25" customHeight="1" x14ac:dyDescent="0.25">
      <c r="A42" s="257" t="s">
        <v>616</v>
      </c>
    </row>
    <row r="43" spans="1:1" ht="23.25" customHeight="1" x14ac:dyDescent="0.25">
      <c r="A43" s="257" t="s">
        <v>617</v>
      </c>
    </row>
    <row r="44" spans="1:1" s="114" customFormat="1" ht="36" customHeight="1" x14ac:dyDescent="0.25">
      <c r="A44" s="260" t="s">
        <v>618</v>
      </c>
    </row>
    <row r="45" spans="1:1" ht="36" customHeight="1" x14ac:dyDescent="0.25">
      <c r="A45" s="257" t="s">
        <v>619</v>
      </c>
    </row>
    <row r="46" spans="1:1" ht="36" customHeight="1" x14ac:dyDescent="0.25">
      <c r="A46" s="257" t="s">
        <v>620</v>
      </c>
    </row>
    <row r="47" spans="1:1" s="114" customFormat="1" ht="23.25" customHeight="1" x14ac:dyDescent="0.25">
      <c r="A47" s="260" t="s">
        <v>621</v>
      </c>
    </row>
    <row r="48" spans="1:1" s="114" customFormat="1" ht="23.25" customHeight="1" x14ac:dyDescent="0.25">
      <c r="A48" s="261" t="s">
        <v>622</v>
      </c>
    </row>
    <row r="49" spans="1:1" s="114" customFormat="1" ht="23.25" customHeight="1" x14ac:dyDescent="0.25">
      <c r="A49" s="261" t="s">
        <v>623</v>
      </c>
    </row>
    <row r="50" spans="1:1" ht="23.25" customHeight="1" x14ac:dyDescent="0.25">
      <c r="A50" s="255"/>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655</v>
      </c>
    </row>
    <row r="2" spans="1:1" ht="18.75" customHeight="1" x14ac:dyDescent="0.25">
      <c r="A2" t="s">
        <v>656</v>
      </c>
    </row>
    <row r="3" spans="1:1" x14ac:dyDescent="0.25">
      <c r="A3" t="s">
        <v>625</v>
      </c>
    </row>
    <row r="4" spans="1:1" x14ac:dyDescent="0.25">
      <c r="A4" t="s">
        <v>657</v>
      </c>
    </row>
    <row r="5" spans="1:1" x14ac:dyDescent="0.25">
      <c r="A5" t="s">
        <v>658</v>
      </c>
    </row>
    <row r="6" spans="1:1" x14ac:dyDescent="0.25">
      <c r="A6" t="s">
        <v>659</v>
      </c>
    </row>
    <row r="7" spans="1:1" x14ac:dyDescent="0.25">
      <c r="A7" t="s">
        <v>660</v>
      </c>
    </row>
    <row r="8" spans="1:1" x14ac:dyDescent="0.25">
      <c r="A8" t="s">
        <v>661</v>
      </c>
    </row>
    <row r="9" spans="1:1" x14ac:dyDescent="0.25">
      <c r="A9" t="s">
        <v>626</v>
      </c>
    </row>
    <row r="10" spans="1:1" x14ac:dyDescent="0.25">
      <c r="A10" t="s">
        <v>627</v>
      </c>
    </row>
    <row r="11" spans="1:1" x14ac:dyDescent="0.25">
      <c r="A11" t="s">
        <v>662</v>
      </c>
    </row>
    <row r="12" spans="1:1" x14ac:dyDescent="0.25">
      <c r="A12" t="s">
        <v>663</v>
      </c>
    </row>
    <row r="13" spans="1:1" x14ac:dyDescent="0.25">
      <c r="A13" t="s">
        <v>664</v>
      </c>
    </row>
    <row r="14" spans="1:1" x14ac:dyDescent="0.25">
      <c r="A14" t="s">
        <v>628</v>
      </c>
    </row>
    <row r="15" spans="1:1" x14ac:dyDescent="0.25">
      <c r="A15" t="s">
        <v>665</v>
      </c>
    </row>
    <row r="16" spans="1:1" x14ac:dyDescent="0.25">
      <c r="A16" t="s">
        <v>666</v>
      </c>
    </row>
    <row r="17" spans="1:1" x14ac:dyDescent="0.25">
      <c r="A17" t="s">
        <v>629</v>
      </c>
    </row>
    <row r="18" spans="1:1" x14ac:dyDescent="0.25">
      <c r="A18" t="s">
        <v>667</v>
      </c>
    </row>
    <row r="19" spans="1:1" x14ac:dyDescent="0.25">
      <c r="A19" t="s">
        <v>668</v>
      </c>
    </row>
    <row r="20" spans="1:1" ht="17.25" customHeight="1" x14ac:dyDescent="0.25">
      <c r="A20" t="s">
        <v>630</v>
      </c>
    </row>
    <row r="21" spans="1:1" x14ac:dyDescent="0.25">
      <c r="A21" t="s">
        <v>669</v>
      </c>
    </row>
    <row r="22" spans="1:1" x14ac:dyDescent="0.25">
      <c r="A22" t="s">
        <v>631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532</v>
      </c>
    </row>
    <row r="3" spans="1:1" x14ac:dyDescent="0.25">
      <c r="A3" t="s">
        <v>633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634</v>
      </c>
    </row>
    <row r="3" spans="1:1" x14ac:dyDescent="0.25">
      <c r="A3" t="s">
        <v>635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637</v>
      </c>
    </row>
    <row r="2" spans="1:1" x14ac:dyDescent="0.25">
      <c r="A2" t="s">
        <v>638</v>
      </c>
    </row>
    <row r="3" spans="1:1" x14ac:dyDescent="0.25">
      <c r="A3" t="s">
        <v>639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D21"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0.140625" style="1" customWidth="1"/>
    <col min="18" max="18" width="78.425781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row>
    <row r="5" spans="1:28" s="12" customFormat="1" ht="15.75" x14ac:dyDescent="0.2">
      <c r="A5" s="17"/>
    </row>
    <row r="6" spans="1:28" s="12" customFormat="1" ht="18.75" x14ac:dyDescent="0.2">
      <c r="A6" s="426" t="s">
        <v>7</v>
      </c>
      <c r="B6" s="426"/>
      <c r="C6" s="426"/>
      <c r="D6" s="426"/>
      <c r="E6" s="426"/>
      <c r="F6" s="426"/>
      <c r="G6" s="426"/>
      <c r="H6" s="426"/>
      <c r="I6" s="426"/>
      <c r="J6" s="426"/>
      <c r="K6" s="426"/>
      <c r="L6" s="426"/>
      <c r="M6" s="426"/>
      <c r="N6" s="426"/>
      <c r="O6" s="426"/>
      <c r="P6" s="426"/>
      <c r="Q6" s="426"/>
      <c r="R6" s="426"/>
      <c r="S6" s="426"/>
      <c r="T6" s="13"/>
      <c r="U6" s="13"/>
      <c r="V6" s="13"/>
      <c r="W6" s="13"/>
      <c r="X6" s="13"/>
      <c r="Y6" s="13"/>
      <c r="Z6" s="13"/>
      <c r="AA6" s="13"/>
      <c r="AB6" s="13"/>
    </row>
    <row r="7" spans="1:28" s="12" customFormat="1" ht="18.75" x14ac:dyDescent="0.2">
      <c r="A7" s="426"/>
      <c r="B7" s="426"/>
      <c r="C7" s="426"/>
      <c r="D7" s="426"/>
      <c r="E7" s="426"/>
      <c r="F7" s="426"/>
      <c r="G7" s="426"/>
      <c r="H7" s="426"/>
      <c r="I7" s="426"/>
      <c r="J7" s="426"/>
      <c r="K7" s="426"/>
      <c r="L7" s="426"/>
      <c r="M7" s="426"/>
      <c r="N7" s="426"/>
      <c r="O7" s="426"/>
      <c r="P7" s="426"/>
      <c r="Q7" s="426"/>
      <c r="R7" s="426"/>
      <c r="S7" s="426"/>
      <c r="T7" s="13"/>
      <c r="U7" s="13"/>
      <c r="V7" s="13"/>
      <c r="W7" s="13"/>
      <c r="X7" s="13"/>
      <c r="Y7" s="13"/>
      <c r="Z7" s="13"/>
      <c r="AA7" s="13"/>
      <c r="AB7" s="13"/>
    </row>
    <row r="8" spans="1:28" s="12" customFormat="1" ht="18.75" x14ac:dyDescent="0.2">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13"/>
      <c r="U8" s="13"/>
      <c r="V8" s="13"/>
      <c r="W8" s="13"/>
      <c r="X8" s="13"/>
      <c r="Y8" s="13"/>
      <c r="Z8" s="13"/>
      <c r="AA8" s="13"/>
      <c r="AB8" s="13"/>
    </row>
    <row r="9" spans="1:28" s="12" customFormat="1" ht="18.75" x14ac:dyDescent="0.2">
      <c r="A9" s="422" t="s">
        <v>6</v>
      </c>
      <c r="B9" s="422"/>
      <c r="C9" s="422"/>
      <c r="D9" s="422"/>
      <c r="E9" s="422"/>
      <c r="F9" s="422"/>
      <c r="G9" s="422"/>
      <c r="H9" s="422"/>
      <c r="I9" s="422"/>
      <c r="J9" s="422"/>
      <c r="K9" s="422"/>
      <c r="L9" s="422"/>
      <c r="M9" s="422"/>
      <c r="N9" s="422"/>
      <c r="O9" s="422"/>
      <c r="P9" s="422"/>
      <c r="Q9" s="422"/>
      <c r="R9" s="422"/>
      <c r="S9" s="422"/>
      <c r="T9" s="13"/>
      <c r="U9" s="13"/>
      <c r="V9" s="13"/>
      <c r="W9" s="13"/>
      <c r="X9" s="13"/>
      <c r="Y9" s="13"/>
      <c r="Z9" s="13"/>
      <c r="AA9" s="13"/>
      <c r="AB9" s="13"/>
    </row>
    <row r="10" spans="1:28" s="12" customFormat="1" ht="18.75" x14ac:dyDescent="0.2">
      <c r="A10" s="426"/>
      <c r="B10" s="426"/>
      <c r="C10" s="426"/>
      <c r="D10" s="426"/>
      <c r="E10" s="426"/>
      <c r="F10" s="426"/>
      <c r="G10" s="426"/>
      <c r="H10" s="426"/>
      <c r="I10" s="426"/>
      <c r="J10" s="426"/>
      <c r="K10" s="426"/>
      <c r="L10" s="426"/>
      <c r="M10" s="426"/>
      <c r="N10" s="426"/>
      <c r="O10" s="426"/>
      <c r="P10" s="426"/>
      <c r="Q10" s="426"/>
      <c r="R10" s="426"/>
      <c r="S10" s="426"/>
      <c r="T10" s="13"/>
      <c r="U10" s="13"/>
      <c r="V10" s="13"/>
      <c r="W10" s="13"/>
      <c r="X10" s="13"/>
      <c r="Y10" s="13"/>
      <c r="Z10" s="13"/>
      <c r="AA10" s="13"/>
      <c r="AB10" s="13"/>
    </row>
    <row r="11" spans="1:28" s="12" customFormat="1" ht="18.75" x14ac:dyDescent="0.2">
      <c r="A11" s="420" t="str">
        <f>'1. паспорт местоположение'!A12:C12</f>
        <v>I_16-0064</v>
      </c>
      <c r="B11" s="420"/>
      <c r="C11" s="420"/>
      <c r="D11" s="420"/>
      <c r="E11" s="420"/>
      <c r="F11" s="420"/>
      <c r="G11" s="420"/>
      <c r="H11" s="420"/>
      <c r="I11" s="420"/>
      <c r="J11" s="420"/>
      <c r="K11" s="420"/>
      <c r="L11" s="420"/>
      <c r="M11" s="420"/>
      <c r="N11" s="420"/>
      <c r="O11" s="420"/>
      <c r="P11" s="420"/>
      <c r="Q11" s="420"/>
      <c r="R11" s="420"/>
      <c r="S11" s="420"/>
      <c r="T11" s="13"/>
      <c r="U11" s="13"/>
      <c r="V11" s="13"/>
      <c r="W11" s="13"/>
      <c r="X11" s="13"/>
      <c r="Y11" s="13"/>
      <c r="Z11" s="13"/>
      <c r="AA11" s="13"/>
      <c r="AB11" s="13"/>
    </row>
    <row r="12" spans="1:28" s="12"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3"/>
      <c r="U12" s="13"/>
      <c r="V12" s="13"/>
      <c r="W12" s="13"/>
      <c r="X12" s="13"/>
      <c r="Y12" s="13"/>
      <c r="Z12" s="13"/>
      <c r="AA12" s="13"/>
      <c r="AB12" s="13"/>
    </row>
    <row r="13" spans="1:28" s="9"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10"/>
      <c r="U13" s="10"/>
      <c r="V13" s="10"/>
      <c r="W13" s="10"/>
      <c r="X13" s="10"/>
      <c r="Y13" s="10"/>
      <c r="Z13" s="10"/>
      <c r="AA13" s="10"/>
      <c r="AB13" s="10"/>
    </row>
    <row r="14" spans="1:28" s="3" customFormat="1" ht="12" x14ac:dyDescent="0.2">
      <c r="A14" s="420" t="str">
        <f>'1. паспорт местоположение'!A9:C9</f>
        <v>Акционерное общество "Янтарьэнерго" ДЗО  ПАО "Россети"</v>
      </c>
      <c r="B14" s="420"/>
      <c r="C14" s="420"/>
      <c r="D14" s="420"/>
      <c r="E14" s="420"/>
      <c r="F14" s="420"/>
      <c r="G14" s="420"/>
      <c r="H14" s="420"/>
      <c r="I14" s="420"/>
      <c r="J14" s="420"/>
      <c r="K14" s="420"/>
      <c r="L14" s="420"/>
      <c r="M14" s="420"/>
      <c r="N14" s="420"/>
      <c r="O14" s="420"/>
      <c r="P14" s="420"/>
      <c r="Q14" s="420"/>
      <c r="R14" s="420"/>
      <c r="S14" s="420"/>
      <c r="T14" s="8"/>
      <c r="U14" s="8"/>
      <c r="V14" s="8"/>
      <c r="W14" s="8"/>
      <c r="X14" s="8"/>
      <c r="Y14" s="8"/>
      <c r="Z14" s="8"/>
      <c r="AA14" s="8"/>
      <c r="AB14" s="8"/>
    </row>
    <row r="15" spans="1:28" s="3" customFormat="1" ht="15" customHeight="1" x14ac:dyDescent="0.2">
      <c r="A15" s="421" t="str">
        <f>'1. паспорт местоположение'!A15:C15</f>
        <v>Реконструкция ЗРУ 15 кВ ПС О-35 "Космодемьяновская" с установкой в резервной ячейке вакуумного выключателя на 2-ой секции 15 кВ (инв.№ 5146310)</v>
      </c>
      <c r="B15" s="422"/>
      <c r="C15" s="422"/>
      <c r="D15" s="422"/>
      <c r="E15" s="422"/>
      <c r="F15" s="422"/>
      <c r="G15" s="422"/>
      <c r="H15" s="422"/>
      <c r="I15" s="422"/>
      <c r="J15" s="422"/>
      <c r="K15" s="422"/>
      <c r="L15" s="422"/>
      <c r="M15" s="422"/>
      <c r="N15" s="422"/>
      <c r="O15" s="422"/>
      <c r="P15" s="422"/>
      <c r="Q15" s="422"/>
      <c r="R15" s="422"/>
      <c r="S15" s="422"/>
      <c r="T15" s="6"/>
      <c r="U15" s="6"/>
      <c r="V15" s="6"/>
      <c r="W15" s="6"/>
      <c r="X15" s="6"/>
      <c r="Y15" s="6"/>
      <c r="Z15" s="6"/>
      <c r="AA15" s="6"/>
      <c r="AB15" s="6"/>
    </row>
    <row r="16" spans="1:28" s="3"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4"/>
      <c r="U16" s="4"/>
      <c r="V16" s="4"/>
      <c r="W16" s="4"/>
      <c r="X16" s="4"/>
      <c r="Y16" s="4"/>
    </row>
    <row r="17" spans="1:28" s="3" customFormat="1" ht="45.75" customHeight="1" x14ac:dyDescent="0.2">
      <c r="A17" s="424" t="s">
        <v>485</v>
      </c>
      <c r="B17" s="424"/>
      <c r="C17" s="424"/>
      <c r="D17" s="424"/>
      <c r="E17" s="424"/>
      <c r="F17" s="424"/>
      <c r="G17" s="424"/>
      <c r="H17" s="424"/>
      <c r="I17" s="424"/>
      <c r="J17" s="424"/>
      <c r="K17" s="424"/>
      <c r="L17" s="424"/>
      <c r="M17" s="424"/>
      <c r="N17" s="424"/>
      <c r="O17" s="424"/>
      <c r="P17" s="424"/>
      <c r="Q17" s="424"/>
      <c r="R17" s="424"/>
      <c r="S17" s="424"/>
      <c r="T17" s="7"/>
      <c r="U17" s="7"/>
      <c r="V17" s="7"/>
      <c r="W17" s="7"/>
      <c r="X17" s="7"/>
      <c r="Y17" s="7"/>
      <c r="Z17" s="7"/>
      <c r="AA17" s="7"/>
      <c r="AB17" s="7"/>
    </row>
    <row r="18" spans="1:28"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
      <c r="U18" s="4"/>
      <c r="V18" s="4"/>
      <c r="W18" s="4"/>
      <c r="X18" s="4"/>
      <c r="Y18" s="4"/>
    </row>
    <row r="19" spans="1:28" s="3" customFormat="1" ht="54" customHeight="1" x14ac:dyDescent="0.2">
      <c r="A19" s="428" t="s">
        <v>3</v>
      </c>
      <c r="B19" s="428" t="s">
        <v>94</v>
      </c>
      <c r="C19" s="429" t="s">
        <v>379</v>
      </c>
      <c r="D19" s="428" t="s">
        <v>378</v>
      </c>
      <c r="E19" s="428" t="s">
        <v>93</v>
      </c>
      <c r="F19" s="428" t="s">
        <v>92</v>
      </c>
      <c r="G19" s="428" t="s">
        <v>374</v>
      </c>
      <c r="H19" s="428" t="s">
        <v>91</v>
      </c>
      <c r="I19" s="428" t="s">
        <v>90</v>
      </c>
      <c r="J19" s="428" t="s">
        <v>89</v>
      </c>
      <c r="K19" s="428" t="s">
        <v>88</v>
      </c>
      <c r="L19" s="428" t="s">
        <v>87</v>
      </c>
      <c r="M19" s="428" t="s">
        <v>86</v>
      </c>
      <c r="N19" s="428" t="s">
        <v>85</v>
      </c>
      <c r="O19" s="428" t="s">
        <v>84</v>
      </c>
      <c r="P19" s="428" t="s">
        <v>83</v>
      </c>
      <c r="Q19" s="428" t="s">
        <v>377</v>
      </c>
      <c r="R19" s="428"/>
      <c r="S19" s="431" t="s">
        <v>479</v>
      </c>
      <c r="T19" s="4"/>
      <c r="U19" s="4"/>
      <c r="V19" s="4"/>
      <c r="W19" s="4"/>
      <c r="X19" s="4"/>
      <c r="Y19" s="4"/>
    </row>
    <row r="20" spans="1:28" s="3" customFormat="1" ht="180.75" customHeight="1" x14ac:dyDescent="0.2">
      <c r="A20" s="428"/>
      <c r="B20" s="428"/>
      <c r="C20" s="430"/>
      <c r="D20" s="428"/>
      <c r="E20" s="428"/>
      <c r="F20" s="428"/>
      <c r="G20" s="428"/>
      <c r="H20" s="428"/>
      <c r="I20" s="428"/>
      <c r="J20" s="428"/>
      <c r="K20" s="428"/>
      <c r="L20" s="428"/>
      <c r="M20" s="428"/>
      <c r="N20" s="428"/>
      <c r="O20" s="428"/>
      <c r="P20" s="428"/>
      <c r="Q20" s="41" t="s">
        <v>375</v>
      </c>
      <c r="R20" s="42" t="s">
        <v>376</v>
      </c>
      <c r="S20" s="431"/>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74" customFormat="1" ht="180" x14ac:dyDescent="0.25">
      <c r="A22" s="280">
        <v>1</v>
      </c>
      <c r="B22" s="266" t="s">
        <v>673</v>
      </c>
      <c r="C22" s="266" t="s">
        <v>674</v>
      </c>
      <c r="D22" s="266" t="s">
        <v>675</v>
      </c>
      <c r="E22" s="266" t="s">
        <v>676</v>
      </c>
      <c r="F22" s="266" t="s">
        <v>677</v>
      </c>
      <c r="G22" s="266" t="s">
        <v>678</v>
      </c>
      <c r="H22" s="312">
        <v>2.0499999999999998</v>
      </c>
      <c r="I22" s="266">
        <v>0.55500000000000005</v>
      </c>
      <c r="J22" s="312">
        <v>1.4950000000000001</v>
      </c>
      <c r="K22" s="266" t="s">
        <v>679</v>
      </c>
      <c r="L22" s="313">
        <v>3</v>
      </c>
      <c r="M22" s="266"/>
      <c r="N22" s="266"/>
      <c r="O22" s="266"/>
      <c r="P22" s="266"/>
      <c r="Q22" s="381" t="s">
        <v>680</v>
      </c>
      <c r="R22" s="309"/>
      <c r="S22" s="314">
        <v>7.6834478500000003</v>
      </c>
      <c r="T22" s="264"/>
      <c r="U22" s="264"/>
      <c r="V22" s="264"/>
      <c r="W22" s="264"/>
      <c r="X22" s="264"/>
      <c r="Y22" s="264"/>
      <c r="Z22" s="264"/>
      <c r="AA22" s="264"/>
      <c r="AB22" s="264"/>
    </row>
    <row r="23" spans="1:28" ht="20.25" customHeight="1" x14ac:dyDescent="0.25">
      <c r="A23" s="119"/>
      <c r="B23" s="46" t="s">
        <v>372</v>
      </c>
      <c r="C23" s="46"/>
      <c r="D23" s="46"/>
      <c r="E23" s="119" t="s">
        <v>373</v>
      </c>
      <c r="F23" s="119" t="s">
        <v>373</v>
      </c>
      <c r="G23" s="119" t="s">
        <v>373</v>
      </c>
      <c r="H23" s="265">
        <f>SUM(H22:H22)</f>
        <v>2.0499999999999998</v>
      </c>
      <c r="I23" s="265">
        <f>SUM(I22:I22)</f>
        <v>0.55500000000000005</v>
      </c>
      <c r="J23" s="265">
        <f>SUM(J22:J22)</f>
        <v>1.4950000000000001</v>
      </c>
      <c r="K23" s="119"/>
      <c r="L23" s="119"/>
      <c r="M23" s="119"/>
      <c r="N23" s="119"/>
      <c r="O23" s="119"/>
      <c r="P23" s="119"/>
      <c r="Q23" s="120"/>
      <c r="R23" s="2"/>
      <c r="S23" s="265">
        <f>SUM(S22:S22)</f>
        <v>7.6834478500000003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2" t="str">
        <f>'1. паспорт местоположение'!A5:C5</f>
        <v>Год раскрытия информации: 2022 год</v>
      </c>
      <c r="B6" s="412"/>
      <c r="C6" s="412"/>
      <c r="D6" s="412"/>
      <c r="E6" s="412"/>
      <c r="F6" s="412"/>
      <c r="G6" s="412"/>
      <c r="H6" s="412"/>
      <c r="I6" s="412"/>
      <c r="J6" s="412"/>
      <c r="K6" s="412"/>
      <c r="L6" s="412"/>
      <c r="M6" s="412"/>
      <c r="N6" s="412"/>
      <c r="O6" s="412"/>
      <c r="P6" s="412"/>
      <c r="Q6" s="412"/>
      <c r="R6" s="412"/>
      <c r="S6" s="412"/>
      <c r="T6" s="412"/>
    </row>
    <row r="7" spans="1:20" s="12" customFormat="1" x14ac:dyDescent="0.2">
      <c r="A7" s="17"/>
      <c r="H7" s="16"/>
    </row>
    <row r="8" spans="1:20" s="12" customFormat="1" ht="18.75" x14ac:dyDescent="0.2">
      <c r="A8" s="426" t="s">
        <v>7</v>
      </c>
      <c r="B8" s="426"/>
      <c r="C8" s="426"/>
      <c r="D8" s="426"/>
      <c r="E8" s="426"/>
      <c r="F8" s="426"/>
      <c r="G8" s="426"/>
      <c r="H8" s="426"/>
      <c r="I8" s="426"/>
      <c r="J8" s="426"/>
      <c r="K8" s="426"/>
      <c r="L8" s="426"/>
      <c r="M8" s="426"/>
      <c r="N8" s="426"/>
      <c r="O8" s="426"/>
      <c r="P8" s="426"/>
      <c r="Q8" s="426"/>
      <c r="R8" s="426"/>
      <c r="S8" s="426"/>
      <c r="T8" s="426"/>
    </row>
    <row r="9" spans="1:20" s="12" customFormat="1" ht="18.75" x14ac:dyDescent="0.2">
      <c r="A9" s="426"/>
      <c r="B9" s="426"/>
      <c r="C9" s="426"/>
      <c r="D9" s="426"/>
      <c r="E9" s="426"/>
      <c r="F9" s="426"/>
      <c r="G9" s="426"/>
      <c r="H9" s="426"/>
      <c r="I9" s="426"/>
      <c r="J9" s="426"/>
      <c r="K9" s="426"/>
      <c r="L9" s="426"/>
      <c r="M9" s="426"/>
      <c r="N9" s="426"/>
      <c r="O9" s="426"/>
      <c r="P9" s="426"/>
      <c r="Q9" s="426"/>
      <c r="R9" s="426"/>
      <c r="S9" s="426"/>
      <c r="T9" s="426"/>
    </row>
    <row r="10" spans="1:20" s="12" customFormat="1" ht="18.75" customHeight="1" x14ac:dyDescent="0.2">
      <c r="A10" s="420" t="str">
        <f>'1. паспорт местоположение'!A9:C9</f>
        <v>Акционерное общество "Янтарьэнерго" ДЗО  ПАО "Россети"</v>
      </c>
      <c r="B10" s="420"/>
      <c r="C10" s="420"/>
      <c r="D10" s="420"/>
      <c r="E10" s="420"/>
      <c r="F10" s="420"/>
      <c r="G10" s="420"/>
      <c r="H10" s="420"/>
      <c r="I10" s="420"/>
      <c r="J10" s="420"/>
      <c r="K10" s="420"/>
      <c r="L10" s="420"/>
      <c r="M10" s="420"/>
      <c r="N10" s="420"/>
      <c r="O10" s="420"/>
      <c r="P10" s="420"/>
      <c r="Q10" s="420"/>
      <c r="R10" s="420"/>
      <c r="S10" s="420"/>
      <c r="T10" s="420"/>
    </row>
    <row r="11" spans="1:20" s="12"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2" customFormat="1" ht="18.75" x14ac:dyDescent="0.2">
      <c r="A12" s="426"/>
      <c r="B12" s="426"/>
      <c r="C12" s="426"/>
      <c r="D12" s="426"/>
      <c r="E12" s="426"/>
      <c r="F12" s="426"/>
      <c r="G12" s="426"/>
      <c r="H12" s="426"/>
      <c r="I12" s="426"/>
      <c r="J12" s="426"/>
      <c r="K12" s="426"/>
      <c r="L12" s="426"/>
      <c r="M12" s="426"/>
      <c r="N12" s="426"/>
      <c r="O12" s="426"/>
      <c r="P12" s="426"/>
      <c r="Q12" s="426"/>
      <c r="R12" s="426"/>
      <c r="S12" s="426"/>
      <c r="T12" s="426"/>
    </row>
    <row r="13" spans="1:20" s="12" customFormat="1" ht="18.75" customHeight="1" x14ac:dyDescent="0.2">
      <c r="A13" s="420" t="str">
        <f>'1. паспорт местоположение'!A12:C12</f>
        <v>I_16-0064</v>
      </c>
      <c r="B13" s="420"/>
      <c r="C13" s="420"/>
      <c r="D13" s="420"/>
      <c r="E13" s="420"/>
      <c r="F13" s="420"/>
      <c r="G13" s="420"/>
      <c r="H13" s="420"/>
      <c r="I13" s="420"/>
      <c r="J13" s="420"/>
      <c r="K13" s="420"/>
      <c r="L13" s="420"/>
      <c r="M13" s="420"/>
      <c r="N13" s="420"/>
      <c r="O13" s="420"/>
      <c r="P13" s="420"/>
      <c r="Q13" s="420"/>
      <c r="R13" s="420"/>
      <c r="S13" s="420"/>
      <c r="T13" s="420"/>
    </row>
    <row r="14" spans="1:20" s="12"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9"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3" customFormat="1" ht="12" x14ac:dyDescent="0.2">
      <c r="A16" s="420"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6" s="420"/>
      <c r="C16" s="420"/>
      <c r="D16" s="420"/>
      <c r="E16" s="420"/>
      <c r="F16" s="420"/>
      <c r="G16" s="420"/>
      <c r="H16" s="420"/>
      <c r="I16" s="420"/>
      <c r="J16" s="420"/>
      <c r="K16" s="420"/>
      <c r="L16" s="420"/>
      <c r="M16" s="420"/>
      <c r="N16" s="420"/>
      <c r="O16" s="420"/>
      <c r="P16" s="420"/>
      <c r="Q16" s="420"/>
      <c r="R16" s="420"/>
      <c r="S16" s="420"/>
      <c r="T16" s="420"/>
    </row>
    <row r="17" spans="1:113" s="3"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113" s="3" customFormat="1" ht="15" customHeight="1" x14ac:dyDescent="0.2">
      <c r="A19" s="435" t="s">
        <v>490</v>
      </c>
      <c r="B19" s="435"/>
      <c r="C19" s="435"/>
      <c r="D19" s="435"/>
      <c r="E19" s="435"/>
      <c r="F19" s="435"/>
      <c r="G19" s="435"/>
      <c r="H19" s="435"/>
      <c r="I19" s="435"/>
      <c r="J19" s="435"/>
      <c r="K19" s="435"/>
      <c r="L19" s="435"/>
      <c r="M19" s="435"/>
      <c r="N19" s="435"/>
      <c r="O19" s="435"/>
      <c r="P19" s="435"/>
      <c r="Q19" s="435"/>
      <c r="R19" s="435"/>
      <c r="S19" s="435"/>
      <c r="T19" s="435"/>
    </row>
    <row r="20" spans="1:113" s="57" customFormat="1" ht="21" customHeight="1" x14ac:dyDescent="0.25">
      <c r="A20" s="436"/>
      <c r="B20" s="436"/>
      <c r="C20" s="436"/>
      <c r="D20" s="436"/>
      <c r="E20" s="436"/>
      <c r="F20" s="436"/>
      <c r="G20" s="436"/>
      <c r="H20" s="436"/>
      <c r="I20" s="436"/>
      <c r="J20" s="436"/>
      <c r="K20" s="436"/>
      <c r="L20" s="436"/>
      <c r="M20" s="436"/>
      <c r="N20" s="436"/>
      <c r="O20" s="436"/>
      <c r="P20" s="436"/>
      <c r="Q20" s="436"/>
      <c r="R20" s="436"/>
      <c r="S20" s="436"/>
      <c r="T20" s="436"/>
    </row>
    <row r="21" spans="1:113" ht="46.5" customHeight="1" x14ac:dyDescent="0.25">
      <c r="A21" s="437" t="s">
        <v>3</v>
      </c>
      <c r="B21" s="440" t="s">
        <v>219</v>
      </c>
      <c r="C21" s="441"/>
      <c r="D21" s="444" t="s">
        <v>116</v>
      </c>
      <c r="E21" s="440" t="s">
        <v>519</v>
      </c>
      <c r="F21" s="441"/>
      <c r="G21" s="440" t="s">
        <v>269</v>
      </c>
      <c r="H21" s="441"/>
      <c r="I21" s="440" t="s">
        <v>115</v>
      </c>
      <c r="J21" s="441"/>
      <c r="K21" s="444" t="s">
        <v>114</v>
      </c>
      <c r="L21" s="440" t="s">
        <v>113</v>
      </c>
      <c r="M21" s="441"/>
      <c r="N21" s="440" t="s">
        <v>515</v>
      </c>
      <c r="O21" s="441"/>
      <c r="P21" s="444" t="s">
        <v>112</v>
      </c>
      <c r="Q21" s="432" t="s">
        <v>111</v>
      </c>
      <c r="R21" s="433"/>
      <c r="S21" s="432" t="s">
        <v>110</v>
      </c>
      <c r="T21" s="434"/>
    </row>
    <row r="22" spans="1:113" ht="204.75" customHeight="1" x14ac:dyDescent="0.25">
      <c r="A22" s="438"/>
      <c r="B22" s="442"/>
      <c r="C22" s="443"/>
      <c r="D22" s="447"/>
      <c r="E22" s="442"/>
      <c r="F22" s="443"/>
      <c r="G22" s="442"/>
      <c r="H22" s="443"/>
      <c r="I22" s="442"/>
      <c r="J22" s="443"/>
      <c r="K22" s="445"/>
      <c r="L22" s="442"/>
      <c r="M22" s="443"/>
      <c r="N22" s="442"/>
      <c r="O22" s="443"/>
      <c r="P22" s="445"/>
      <c r="Q22" s="110" t="s">
        <v>109</v>
      </c>
      <c r="R22" s="110" t="s">
        <v>489</v>
      </c>
      <c r="S22" s="110" t="s">
        <v>108</v>
      </c>
      <c r="T22" s="110" t="s">
        <v>107</v>
      </c>
    </row>
    <row r="23" spans="1:113" ht="51.75" customHeight="1" x14ac:dyDescent="0.25">
      <c r="A23" s="439"/>
      <c r="B23" s="159" t="s">
        <v>105</v>
      </c>
      <c r="C23" s="159" t="s">
        <v>106</v>
      </c>
      <c r="D23" s="445"/>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7" customFormat="1" ht="47.25" customHeight="1" x14ac:dyDescent="0.25">
      <c r="A25" s="58">
        <v>1</v>
      </c>
      <c r="B25" s="58" t="s">
        <v>681</v>
      </c>
      <c r="C25" s="58" t="s">
        <v>681</v>
      </c>
      <c r="D25" s="58" t="s">
        <v>488</v>
      </c>
      <c r="E25" s="58" t="s">
        <v>692</v>
      </c>
      <c r="F25" s="58" t="s">
        <v>691</v>
      </c>
      <c r="G25" s="58" t="s">
        <v>690</v>
      </c>
      <c r="H25" s="58" t="s">
        <v>690</v>
      </c>
      <c r="I25" s="58" t="s">
        <v>644</v>
      </c>
      <c r="J25" s="58">
        <v>2019</v>
      </c>
      <c r="K25" s="58" t="s">
        <v>644</v>
      </c>
      <c r="L25" s="58">
        <v>15</v>
      </c>
      <c r="M25" s="58">
        <v>15</v>
      </c>
      <c r="N25" s="58" t="s">
        <v>373</v>
      </c>
      <c r="O25" s="58" t="s">
        <v>373</v>
      </c>
      <c r="P25" s="58" t="s">
        <v>373</v>
      </c>
      <c r="Q25" s="58" t="s">
        <v>373</v>
      </c>
      <c r="R25" s="58" t="s">
        <v>373</v>
      </c>
      <c r="S25" s="58" t="s">
        <v>373</v>
      </c>
      <c r="T25" s="58"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46" t="s">
        <v>525</v>
      </c>
      <c r="C29" s="446"/>
      <c r="D29" s="446"/>
      <c r="E29" s="446"/>
      <c r="F29" s="446"/>
      <c r="G29" s="446"/>
      <c r="H29" s="446"/>
      <c r="I29" s="446"/>
      <c r="J29" s="446"/>
      <c r="K29" s="446"/>
      <c r="L29" s="446"/>
      <c r="M29" s="446"/>
      <c r="N29" s="446"/>
      <c r="O29" s="446"/>
      <c r="P29" s="446"/>
      <c r="Q29" s="446"/>
      <c r="R29" s="446"/>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7" zoomScale="80" zoomScaleSheetLayoutView="80" workbookViewId="0"/>
  </sheetViews>
  <sheetFormatPr defaultColWidth="10.7109375" defaultRowHeight="15.75" x14ac:dyDescent="0.25"/>
  <cols>
    <col min="1" max="2" width="10.7109375" style="49"/>
    <col min="3" max="3" width="26.42578125" style="49" customWidth="1"/>
    <col min="4" max="4" width="11.5703125" style="49" customWidth="1"/>
    <col min="5" max="5" width="29.42578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0.855468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26" t="s">
        <v>7</v>
      </c>
      <c r="F7" s="426"/>
      <c r="G7" s="426"/>
      <c r="H7" s="426"/>
      <c r="I7" s="426"/>
      <c r="J7" s="426"/>
      <c r="K7" s="426"/>
      <c r="L7" s="426"/>
      <c r="M7" s="426"/>
      <c r="N7" s="426"/>
      <c r="O7" s="426"/>
      <c r="P7" s="426"/>
      <c r="Q7" s="426"/>
      <c r="R7" s="426"/>
      <c r="S7" s="426"/>
      <c r="T7" s="426"/>
      <c r="U7" s="426"/>
      <c r="V7" s="426"/>
      <c r="W7" s="426"/>
      <c r="X7" s="426"/>
      <c r="Y7" s="42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0" t="str">
        <f>'1. паспорт местоположение'!A9</f>
        <v>Акционерное общество "Янтарьэнерго" ДЗО  ПАО "Россети"</v>
      </c>
      <c r="F9" s="420"/>
      <c r="G9" s="420"/>
      <c r="H9" s="420"/>
      <c r="I9" s="420"/>
      <c r="J9" s="420"/>
      <c r="K9" s="420"/>
      <c r="L9" s="420"/>
      <c r="M9" s="420"/>
      <c r="N9" s="420"/>
      <c r="O9" s="420"/>
      <c r="P9" s="420"/>
      <c r="Q9" s="420"/>
      <c r="R9" s="420"/>
      <c r="S9" s="420"/>
      <c r="T9" s="420"/>
      <c r="U9" s="420"/>
      <c r="V9" s="420"/>
      <c r="W9" s="420"/>
      <c r="X9" s="420"/>
      <c r="Y9" s="420"/>
    </row>
    <row r="10" spans="1:27" s="12" customFormat="1" ht="18.75" customHeight="1" x14ac:dyDescent="0.2">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0" t="str">
        <f>'1. паспорт местоположение'!A12</f>
        <v>I_16-0064</v>
      </c>
      <c r="F12" s="420"/>
      <c r="G12" s="420"/>
      <c r="H12" s="420"/>
      <c r="I12" s="420"/>
      <c r="J12" s="420"/>
      <c r="K12" s="420"/>
      <c r="L12" s="420"/>
      <c r="M12" s="420"/>
      <c r="N12" s="420"/>
      <c r="O12" s="420"/>
      <c r="P12" s="420"/>
      <c r="Q12" s="420"/>
      <c r="R12" s="420"/>
      <c r="S12" s="420"/>
      <c r="T12" s="420"/>
      <c r="U12" s="420"/>
      <c r="V12" s="420"/>
      <c r="W12" s="420"/>
      <c r="X12" s="420"/>
      <c r="Y12" s="420"/>
    </row>
    <row r="13" spans="1:27" s="12" customFormat="1" ht="18.75" customHeight="1" x14ac:dyDescent="0.2">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0"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F15" s="420"/>
      <c r="G15" s="420"/>
      <c r="H15" s="420"/>
      <c r="I15" s="420"/>
      <c r="J15" s="420"/>
      <c r="K15" s="420"/>
      <c r="L15" s="420"/>
      <c r="M15" s="420"/>
      <c r="N15" s="420"/>
      <c r="O15" s="420"/>
      <c r="P15" s="420"/>
      <c r="Q15" s="420"/>
      <c r="R15" s="420"/>
      <c r="S15" s="420"/>
      <c r="T15" s="420"/>
      <c r="U15" s="420"/>
      <c r="V15" s="420"/>
      <c r="W15" s="420"/>
      <c r="X15" s="420"/>
      <c r="Y15" s="420"/>
    </row>
    <row r="16" spans="1:27" s="3" customFormat="1" ht="15" customHeight="1" x14ac:dyDescent="0.2">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5"/>
      <c r="F18" s="435"/>
      <c r="G18" s="435"/>
      <c r="H18" s="435"/>
      <c r="I18" s="435"/>
      <c r="J18" s="435"/>
      <c r="K18" s="435"/>
      <c r="L18" s="435"/>
      <c r="M18" s="435"/>
      <c r="N18" s="435"/>
      <c r="O18" s="435"/>
      <c r="P18" s="435"/>
      <c r="Q18" s="435"/>
      <c r="R18" s="435"/>
      <c r="S18" s="435"/>
      <c r="T18" s="435"/>
      <c r="U18" s="435"/>
      <c r="V18" s="435"/>
      <c r="W18" s="435"/>
      <c r="X18" s="435"/>
      <c r="Y18" s="435"/>
    </row>
    <row r="19" spans="1:27" ht="25.5" customHeight="1" x14ac:dyDescent="0.25">
      <c r="A19" s="435" t="s">
        <v>492</v>
      </c>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row>
    <row r="20" spans="1:27" s="57" customFormat="1" ht="21" customHeight="1" x14ac:dyDescent="0.25"/>
    <row r="21" spans="1:27" ht="15.75" customHeight="1" x14ac:dyDescent="0.25">
      <c r="A21" s="448" t="s">
        <v>3</v>
      </c>
      <c r="B21" s="450" t="s">
        <v>499</v>
      </c>
      <c r="C21" s="451"/>
      <c r="D21" s="450" t="s">
        <v>501</v>
      </c>
      <c r="E21" s="451"/>
      <c r="F21" s="432" t="s">
        <v>88</v>
      </c>
      <c r="G21" s="434"/>
      <c r="H21" s="434"/>
      <c r="I21" s="433"/>
      <c r="J21" s="448" t="s">
        <v>502</v>
      </c>
      <c r="K21" s="450" t="s">
        <v>503</v>
      </c>
      <c r="L21" s="451"/>
      <c r="M21" s="450" t="s">
        <v>504</v>
      </c>
      <c r="N21" s="451"/>
      <c r="O21" s="450" t="s">
        <v>491</v>
      </c>
      <c r="P21" s="451"/>
      <c r="Q21" s="450" t="s">
        <v>121</v>
      </c>
      <c r="R21" s="451"/>
      <c r="S21" s="448" t="s">
        <v>120</v>
      </c>
      <c r="T21" s="448" t="s">
        <v>505</v>
      </c>
      <c r="U21" s="448" t="s">
        <v>500</v>
      </c>
      <c r="V21" s="450" t="s">
        <v>119</v>
      </c>
      <c r="W21" s="451"/>
      <c r="X21" s="432" t="s">
        <v>111</v>
      </c>
      <c r="Y21" s="434"/>
      <c r="Z21" s="432" t="s">
        <v>110</v>
      </c>
      <c r="AA21" s="434"/>
    </row>
    <row r="22" spans="1:27" ht="216" customHeight="1" x14ac:dyDescent="0.25">
      <c r="A22" s="454"/>
      <c r="B22" s="452"/>
      <c r="C22" s="453"/>
      <c r="D22" s="452"/>
      <c r="E22" s="453"/>
      <c r="F22" s="432" t="s">
        <v>118</v>
      </c>
      <c r="G22" s="433"/>
      <c r="H22" s="432" t="s">
        <v>117</v>
      </c>
      <c r="I22" s="433"/>
      <c r="J22" s="449"/>
      <c r="K22" s="452"/>
      <c r="L22" s="453"/>
      <c r="M22" s="452"/>
      <c r="N22" s="453"/>
      <c r="O22" s="452"/>
      <c r="P22" s="453"/>
      <c r="Q22" s="452"/>
      <c r="R22" s="453"/>
      <c r="S22" s="449"/>
      <c r="T22" s="449"/>
      <c r="U22" s="449"/>
      <c r="V22" s="452"/>
      <c r="W22" s="453"/>
      <c r="X22" s="110" t="s">
        <v>109</v>
      </c>
      <c r="Y22" s="110" t="s">
        <v>489</v>
      </c>
      <c r="Z22" s="110" t="s">
        <v>108</v>
      </c>
      <c r="AA22" s="110" t="s">
        <v>107</v>
      </c>
    </row>
    <row r="23" spans="1:27" ht="60" customHeight="1" x14ac:dyDescent="0.25">
      <c r="A23" s="449"/>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75" customFormat="1" x14ac:dyDescent="0.25">
      <c r="A25" s="331">
        <v>1</v>
      </c>
      <c r="B25" s="332" t="s">
        <v>373</v>
      </c>
      <c r="C25" s="332" t="s">
        <v>373</v>
      </c>
      <c r="D25" s="332" t="s">
        <v>373</v>
      </c>
      <c r="E25" s="332" t="s">
        <v>373</v>
      </c>
      <c r="F25" s="332" t="s">
        <v>373</v>
      </c>
      <c r="G25" s="332" t="s">
        <v>373</v>
      </c>
      <c r="H25" s="332" t="s">
        <v>373</v>
      </c>
      <c r="I25" s="332" t="s">
        <v>373</v>
      </c>
      <c r="J25" s="332" t="s">
        <v>373</v>
      </c>
      <c r="K25" s="332" t="s">
        <v>373</v>
      </c>
      <c r="L25" s="332" t="s">
        <v>373</v>
      </c>
      <c r="M25" s="332" t="s">
        <v>373</v>
      </c>
      <c r="N25" s="332" t="s">
        <v>373</v>
      </c>
      <c r="O25" s="332" t="s">
        <v>373</v>
      </c>
      <c r="P25" s="332" t="s">
        <v>373</v>
      </c>
      <c r="Q25" s="332" t="s">
        <v>373</v>
      </c>
      <c r="R25" s="332" t="s">
        <v>373</v>
      </c>
      <c r="S25" s="332" t="s">
        <v>373</v>
      </c>
      <c r="T25" s="332" t="s">
        <v>373</v>
      </c>
      <c r="U25" s="332" t="s">
        <v>373</v>
      </c>
      <c r="V25" s="332" t="s">
        <v>373</v>
      </c>
      <c r="W25" s="332" t="s">
        <v>373</v>
      </c>
      <c r="X25" s="331" t="s">
        <v>373</v>
      </c>
      <c r="Y25" s="331" t="s">
        <v>373</v>
      </c>
      <c r="Z25" s="331" t="s">
        <v>373</v>
      </c>
      <c r="AA25" s="331" t="s">
        <v>373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2" t="str">
        <f>'1. паспорт местоположение'!A5:C5</f>
        <v>Год раскрытия информации: 2022 год</v>
      </c>
      <c r="B5" s="412"/>
      <c r="C5" s="412"/>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26" t="s">
        <v>7</v>
      </c>
      <c r="B7" s="426"/>
      <c r="C7" s="426"/>
      <c r="D7" s="13"/>
      <c r="E7" s="13"/>
      <c r="F7" s="13"/>
      <c r="G7" s="13"/>
      <c r="H7" s="13"/>
      <c r="I7" s="13"/>
      <c r="J7" s="13"/>
      <c r="K7" s="13"/>
      <c r="L7" s="13"/>
      <c r="M7" s="13"/>
      <c r="N7" s="13"/>
      <c r="O7" s="13"/>
      <c r="P7" s="13"/>
      <c r="Q7" s="13"/>
      <c r="R7" s="13"/>
      <c r="S7" s="13"/>
      <c r="T7" s="13"/>
      <c r="U7" s="13"/>
    </row>
    <row r="8" spans="1:29" s="12" customFormat="1" ht="18.75" x14ac:dyDescent="0.2">
      <c r="A8" s="426"/>
      <c r="B8" s="426"/>
      <c r="C8" s="426"/>
      <c r="D8" s="14"/>
      <c r="E8" s="14"/>
      <c r="F8" s="14"/>
      <c r="G8" s="14"/>
      <c r="H8" s="13"/>
      <c r="I8" s="13"/>
      <c r="J8" s="13"/>
      <c r="K8" s="13"/>
      <c r="L8" s="13"/>
      <c r="M8" s="13"/>
      <c r="N8" s="13"/>
      <c r="O8" s="13"/>
      <c r="P8" s="13"/>
      <c r="Q8" s="13"/>
      <c r="R8" s="13"/>
      <c r="S8" s="13"/>
      <c r="T8" s="13"/>
      <c r="U8" s="13"/>
    </row>
    <row r="9" spans="1:29" s="12" customFormat="1" ht="18.75" x14ac:dyDescent="0.2">
      <c r="A9" s="420" t="str">
        <f>'1. паспорт местоположение'!A9:C9</f>
        <v>Акционерное общество "Янтарьэнерго" ДЗО  ПАО "Россети"</v>
      </c>
      <c r="B9" s="420"/>
      <c r="C9" s="420"/>
      <c r="D9" s="8"/>
      <c r="E9" s="8"/>
      <c r="F9" s="8"/>
      <c r="G9" s="8"/>
      <c r="H9" s="13"/>
      <c r="I9" s="13"/>
      <c r="J9" s="13"/>
      <c r="K9" s="13"/>
      <c r="L9" s="13"/>
      <c r="M9" s="13"/>
      <c r="N9" s="13"/>
      <c r="O9" s="13"/>
      <c r="P9" s="13"/>
      <c r="Q9" s="13"/>
      <c r="R9" s="13"/>
      <c r="S9" s="13"/>
      <c r="T9" s="13"/>
      <c r="U9" s="13"/>
    </row>
    <row r="10" spans="1:29" s="12" customFormat="1" ht="18.75" x14ac:dyDescent="0.2">
      <c r="A10" s="422" t="s">
        <v>6</v>
      </c>
      <c r="B10" s="422"/>
      <c r="C10" s="422"/>
      <c r="D10" s="6"/>
      <c r="E10" s="6"/>
      <c r="F10" s="6"/>
      <c r="G10" s="6"/>
      <c r="H10" s="13"/>
      <c r="I10" s="13"/>
      <c r="J10" s="13"/>
      <c r="K10" s="13"/>
      <c r="L10" s="13"/>
      <c r="M10" s="13"/>
      <c r="N10" s="13"/>
      <c r="O10" s="13"/>
      <c r="P10" s="13"/>
      <c r="Q10" s="13"/>
      <c r="R10" s="13"/>
      <c r="S10" s="13"/>
      <c r="T10" s="13"/>
      <c r="U10" s="13"/>
    </row>
    <row r="11" spans="1:29" s="12" customFormat="1" ht="18.75" x14ac:dyDescent="0.2">
      <c r="A11" s="426"/>
      <c r="B11" s="426"/>
      <c r="C11" s="426"/>
      <c r="D11" s="14"/>
      <c r="E11" s="14"/>
      <c r="F11" s="14"/>
      <c r="G11" s="14"/>
      <c r="H11" s="13"/>
      <c r="I11" s="13"/>
      <c r="J11" s="13"/>
      <c r="K11" s="13"/>
      <c r="L11" s="13"/>
      <c r="M11" s="13"/>
      <c r="N11" s="13"/>
      <c r="O11" s="13"/>
      <c r="P11" s="13"/>
      <c r="Q11" s="13"/>
      <c r="R11" s="13"/>
      <c r="S11" s="13"/>
      <c r="T11" s="13"/>
      <c r="U11" s="13"/>
    </row>
    <row r="12" spans="1:29" s="12" customFormat="1" ht="18.75" x14ac:dyDescent="0.2">
      <c r="A12" s="420" t="str">
        <f>'1. паспорт местоположение'!A12:C12</f>
        <v>I_16-0064</v>
      </c>
      <c r="B12" s="420"/>
      <c r="C12" s="420"/>
      <c r="D12" s="8"/>
      <c r="E12" s="8"/>
      <c r="F12" s="8"/>
      <c r="G12" s="8"/>
      <c r="H12" s="13"/>
      <c r="I12" s="13"/>
      <c r="J12" s="13"/>
      <c r="K12" s="13"/>
      <c r="L12" s="13"/>
      <c r="M12" s="13"/>
      <c r="N12" s="13"/>
      <c r="O12" s="13"/>
      <c r="P12" s="13"/>
      <c r="Q12" s="13"/>
      <c r="R12" s="13"/>
      <c r="S12" s="13"/>
      <c r="T12" s="13"/>
      <c r="U12" s="13"/>
    </row>
    <row r="13" spans="1:29" s="12" customFormat="1" ht="18.75" x14ac:dyDescent="0.2">
      <c r="A13" s="422" t="s">
        <v>5</v>
      </c>
      <c r="B13" s="422"/>
      <c r="C13" s="42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7"/>
      <c r="B14" s="427"/>
      <c r="C14" s="427"/>
      <c r="D14" s="10"/>
      <c r="E14" s="10"/>
      <c r="F14" s="10"/>
      <c r="G14" s="10"/>
      <c r="H14" s="10"/>
      <c r="I14" s="10"/>
      <c r="J14" s="10"/>
      <c r="K14" s="10"/>
      <c r="L14" s="10"/>
      <c r="M14" s="10"/>
      <c r="N14" s="10"/>
      <c r="O14" s="10"/>
      <c r="P14" s="10"/>
      <c r="Q14" s="10"/>
      <c r="R14" s="10"/>
      <c r="S14" s="10"/>
      <c r="T14" s="10"/>
      <c r="U14" s="10"/>
    </row>
    <row r="15" spans="1:29" s="3" customFormat="1" ht="12" x14ac:dyDescent="0.2">
      <c r="A15" s="420"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5" s="420"/>
      <c r="C15" s="420"/>
      <c r="D15" s="8"/>
      <c r="E15" s="8"/>
      <c r="F15" s="8"/>
      <c r="G15" s="8"/>
      <c r="H15" s="8"/>
      <c r="I15" s="8"/>
      <c r="J15" s="8"/>
      <c r="K15" s="8"/>
      <c r="L15" s="8"/>
      <c r="M15" s="8"/>
      <c r="N15" s="8"/>
      <c r="O15" s="8"/>
      <c r="P15" s="8"/>
      <c r="Q15" s="8"/>
      <c r="R15" s="8"/>
      <c r="S15" s="8"/>
      <c r="T15" s="8"/>
      <c r="U15" s="8"/>
    </row>
    <row r="16" spans="1:29" s="3" customFormat="1" ht="15" customHeight="1" x14ac:dyDescent="0.2">
      <c r="A16" s="422" t="s">
        <v>4</v>
      </c>
      <c r="B16" s="422"/>
      <c r="C16" s="422"/>
      <c r="D16" s="6"/>
      <c r="E16" s="6"/>
      <c r="F16" s="6"/>
      <c r="G16" s="6"/>
      <c r="H16" s="6"/>
      <c r="I16" s="6"/>
      <c r="J16" s="6"/>
      <c r="K16" s="6"/>
      <c r="L16" s="6"/>
      <c r="M16" s="6"/>
      <c r="N16" s="6"/>
      <c r="O16" s="6"/>
      <c r="P16" s="6"/>
      <c r="Q16" s="6"/>
      <c r="R16" s="6"/>
      <c r="S16" s="6"/>
      <c r="T16" s="6"/>
      <c r="U16" s="6"/>
    </row>
    <row r="17" spans="1:21" s="3" customFormat="1" ht="15" customHeight="1" x14ac:dyDescent="0.2">
      <c r="A17" s="423"/>
      <c r="B17" s="423"/>
      <c r="C17" s="423"/>
      <c r="D17" s="4"/>
      <c r="E17" s="4"/>
      <c r="F17" s="4"/>
      <c r="G17" s="4"/>
      <c r="H17" s="4"/>
      <c r="I17" s="4"/>
      <c r="J17" s="4"/>
      <c r="K17" s="4"/>
      <c r="L17" s="4"/>
      <c r="M17" s="4"/>
      <c r="N17" s="4"/>
      <c r="O17" s="4"/>
      <c r="P17" s="4"/>
      <c r="Q17" s="4"/>
      <c r="R17" s="4"/>
    </row>
    <row r="18" spans="1:21" s="3" customFormat="1" ht="27.75" customHeight="1" x14ac:dyDescent="0.2">
      <c r="A18" s="424" t="s">
        <v>484</v>
      </c>
      <c r="B18" s="424"/>
      <c r="C18" s="42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15" t="s">
        <v>648</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1,495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702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4" t="s">
        <v>694</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647</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85"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№180/02/07 д/с 3 от 04.10.2011;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644</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693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2" t="str">
        <f>'1. паспорт местоположение'!A5:C5</f>
        <v>Год раскрытия информации: 2022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154"/>
      <c r="AB6" s="154"/>
    </row>
    <row r="7" spans="1:28" ht="18.75" x14ac:dyDescent="0.2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154"/>
      <c r="AB7" s="154"/>
    </row>
    <row r="8" spans="1:28" x14ac:dyDescent="0.25">
      <c r="A8" s="420" t="str">
        <f>'1. паспорт местоположение'!A9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55"/>
      <c r="AB8" s="155"/>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56"/>
      <c r="AB9" s="156"/>
    </row>
    <row r="10" spans="1:2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154"/>
      <c r="AB10" s="154"/>
    </row>
    <row r="11" spans="1:28" x14ac:dyDescent="0.25">
      <c r="A11" s="420" t="str">
        <f>'1. паспорт местоположение'!A12:C12</f>
        <v>I_16-0064</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155"/>
      <c r="AB11" s="155"/>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56"/>
      <c r="AB12" s="156"/>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1"/>
      <c r="AB13" s="11"/>
    </row>
    <row r="14" spans="1:28" x14ac:dyDescent="0.25">
      <c r="A14" s="420"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155"/>
      <c r="AB14" s="155"/>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56"/>
      <c r="AB15" s="156"/>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4"/>
      <c r="AB16" s="164"/>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4"/>
      <c r="AB17" s="164"/>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4"/>
      <c r="AB18" s="164"/>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4"/>
      <c r="AB19" s="164"/>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5"/>
      <c r="AB20" s="165"/>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5"/>
      <c r="AB21" s="165"/>
    </row>
    <row r="22" spans="1:28" x14ac:dyDescent="0.25">
      <c r="A22" s="457" t="s">
        <v>516</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6"/>
      <c r="AB22" s="166"/>
    </row>
    <row r="23" spans="1:28" ht="32.25" customHeight="1" x14ac:dyDescent="0.25">
      <c r="A23" s="459" t="s">
        <v>370</v>
      </c>
      <c r="B23" s="460"/>
      <c r="C23" s="460"/>
      <c r="D23" s="460"/>
      <c r="E23" s="460"/>
      <c r="F23" s="460"/>
      <c r="G23" s="460"/>
      <c r="H23" s="460"/>
      <c r="I23" s="460"/>
      <c r="J23" s="460"/>
      <c r="K23" s="460"/>
      <c r="L23" s="461"/>
      <c r="M23" s="458" t="s">
        <v>371</v>
      </c>
      <c r="N23" s="458"/>
      <c r="O23" s="458"/>
      <c r="P23" s="458"/>
      <c r="Q23" s="458"/>
      <c r="R23" s="458"/>
      <c r="S23" s="458"/>
      <c r="T23" s="458"/>
      <c r="U23" s="458"/>
      <c r="V23" s="458"/>
      <c r="W23" s="458"/>
      <c r="X23" s="458"/>
      <c r="Y23" s="458"/>
      <c r="Z23" s="458"/>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12" t="str">
        <f>'1. паспорт местоположение'!A5:C5</f>
        <v>Год раскрытия информации: 2022 год</v>
      </c>
      <c r="B5" s="412"/>
      <c r="C5" s="412"/>
      <c r="D5" s="412"/>
      <c r="E5" s="412"/>
      <c r="F5" s="412"/>
      <c r="G5" s="412"/>
      <c r="H5" s="412"/>
      <c r="I5" s="412"/>
      <c r="J5" s="412"/>
      <c r="K5" s="412"/>
      <c r="L5" s="412"/>
      <c r="M5" s="412"/>
      <c r="N5" s="412"/>
      <c r="O5" s="412"/>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426" t="s">
        <v>7</v>
      </c>
      <c r="B7" s="426"/>
      <c r="C7" s="426"/>
      <c r="D7" s="426"/>
      <c r="E7" s="426"/>
      <c r="F7" s="426"/>
      <c r="G7" s="426"/>
      <c r="H7" s="426"/>
      <c r="I7" s="426"/>
      <c r="J7" s="426"/>
      <c r="K7" s="426"/>
      <c r="L7" s="426"/>
      <c r="M7" s="426"/>
      <c r="N7" s="426"/>
      <c r="O7" s="426"/>
      <c r="P7" s="13"/>
      <c r="Q7" s="13"/>
      <c r="R7" s="13"/>
      <c r="S7" s="13"/>
      <c r="T7" s="13"/>
      <c r="U7" s="13"/>
      <c r="V7" s="13"/>
      <c r="W7" s="13"/>
      <c r="X7" s="13"/>
      <c r="Y7" s="13"/>
      <c r="Z7" s="13"/>
    </row>
    <row r="8" spans="1:28" s="12" customFormat="1" ht="18.75" x14ac:dyDescent="0.2">
      <c r="A8" s="426"/>
      <c r="B8" s="426"/>
      <c r="C8" s="426"/>
      <c r="D8" s="426"/>
      <c r="E8" s="426"/>
      <c r="F8" s="426"/>
      <c r="G8" s="426"/>
      <c r="H8" s="426"/>
      <c r="I8" s="426"/>
      <c r="J8" s="426"/>
      <c r="K8" s="426"/>
      <c r="L8" s="426"/>
      <c r="M8" s="426"/>
      <c r="N8" s="426"/>
      <c r="O8" s="426"/>
      <c r="P8" s="13"/>
      <c r="Q8" s="13"/>
      <c r="R8" s="13"/>
      <c r="S8" s="13"/>
      <c r="T8" s="13"/>
      <c r="U8" s="13"/>
      <c r="V8" s="13"/>
      <c r="W8" s="13"/>
      <c r="X8" s="13"/>
      <c r="Y8" s="13"/>
      <c r="Z8" s="13"/>
    </row>
    <row r="9" spans="1:28" s="12" customFormat="1" ht="18.75" x14ac:dyDescent="0.2">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420"/>
      <c r="O9" s="420"/>
      <c r="P9" s="13"/>
      <c r="Q9" s="13"/>
      <c r="R9" s="13"/>
      <c r="S9" s="13"/>
      <c r="T9" s="13"/>
      <c r="U9" s="13"/>
      <c r="V9" s="13"/>
      <c r="W9" s="13"/>
      <c r="X9" s="13"/>
      <c r="Y9" s="13"/>
      <c r="Z9" s="13"/>
    </row>
    <row r="10" spans="1:28" s="12" customFormat="1" ht="18.75" x14ac:dyDescent="0.2">
      <c r="A10" s="422" t="s">
        <v>6</v>
      </c>
      <c r="B10" s="422"/>
      <c r="C10" s="422"/>
      <c r="D10" s="422"/>
      <c r="E10" s="422"/>
      <c r="F10" s="422"/>
      <c r="G10" s="422"/>
      <c r="H10" s="422"/>
      <c r="I10" s="422"/>
      <c r="J10" s="422"/>
      <c r="K10" s="422"/>
      <c r="L10" s="422"/>
      <c r="M10" s="422"/>
      <c r="N10" s="422"/>
      <c r="O10" s="422"/>
      <c r="P10" s="13"/>
      <c r="Q10" s="13"/>
      <c r="R10" s="13"/>
      <c r="S10" s="13"/>
      <c r="T10" s="13"/>
      <c r="U10" s="13"/>
      <c r="V10" s="13"/>
      <c r="W10" s="13"/>
      <c r="X10" s="13"/>
      <c r="Y10" s="13"/>
      <c r="Z10" s="13"/>
    </row>
    <row r="11" spans="1:28" s="12" customFormat="1" ht="18.75" x14ac:dyDescent="0.2">
      <c r="A11" s="426"/>
      <c r="B11" s="426"/>
      <c r="C11" s="426"/>
      <c r="D11" s="426"/>
      <c r="E11" s="426"/>
      <c r="F11" s="426"/>
      <c r="G11" s="426"/>
      <c r="H11" s="426"/>
      <c r="I11" s="426"/>
      <c r="J11" s="426"/>
      <c r="K11" s="426"/>
      <c r="L11" s="426"/>
      <c r="M11" s="426"/>
      <c r="N11" s="426"/>
      <c r="O11" s="426"/>
      <c r="P11" s="13"/>
      <c r="Q11" s="13"/>
      <c r="R11" s="13"/>
      <c r="S11" s="13"/>
      <c r="T11" s="13"/>
      <c r="U11" s="13"/>
      <c r="V11" s="13"/>
      <c r="W11" s="13"/>
      <c r="X11" s="13"/>
      <c r="Y11" s="13"/>
      <c r="Z11" s="13"/>
    </row>
    <row r="12" spans="1:28" s="12" customFormat="1" ht="18.75" x14ac:dyDescent="0.2">
      <c r="A12" s="420" t="str">
        <f>'1. паспорт местоположение'!A12:C12</f>
        <v>I_16-0064</v>
      </c>
      <c r="B12" s="420"/>
      <c r="C12" s="420"/>
      <c r="D12" s="420"/>
      <c r="E12" s="420"/>
      <c r="F12" s="420"/>
      <c r="G12" s="420"/>
      <c r="H12" s="420"/>
      <c r="I12" s="420"/>
      <c r="J12" s="420"/>
      <c r="K12" s="420"/>
      <c r="L12" s="420"/>
      <c r="M12" s="420"/>
      <c r="N12" s="420"/>
      <c r="O12" s="420"/>
      <c r="P12" s="13"/>
      <c r="Q12" s="13"/>
      <c r="R12" s="13"/>
      <c r="S12" s="13"/>
      <c r="T12" s="13"/>
      <c r="U12" s="13"/>
      <c r="V12" s="13"/>
      <c r="W12" s="13"/>
      <c r="X12" s="13"/>
      <c r="Y12" s="13"/>
      <c r="Z12" s="13"/>
    </row>
    <row r="13" spans="1:28" s="12" customFormat="1" ht="18.75" x14ac:dyDescent="0.2">
      <c r="A13" s="422" t="s">
        <v>5</v>
      </c>
      <c r="B13" s="422"/>
      <c r="C13" s="422"/>
      <c r="D13" s="422"/>
      <c r="E13" s="422"/>
      <c r="F13" s="422"/>
      <c r="G13" s="422"/>
      <c r="H13" s="422"/>
      <c r="I13" s="422"/>
      <c r="J13" s="422"/>
      <c r="K13" s="422"/>
      <c r="L13" s="422"/>
      <c r="M13" s="422"/>
      <c r="N13" s="422"/>
      <c r="O13" s="422"/>
      <c r="P13" s="13"/>
      <c r="Q13" s="13"/>
      <c r="R13" s="13"/>
      <c r="S13" s="13"/>
      <c r="T13" s="13"/>
      <c r="U13" s="13"/>
      <c r="V13" s="13"/>
      <c r="W13" s="13"/>
      <c r="X13" s="13"/>
      <c r="Y13" s="13"/>
      <c r="Z13" s="13"/>
    </row>
    <row r="14" spans="1:28" s="9" customFormat="1" ht="15.75" customHeight="1" x14ac:dyDescent="0.2">
      <c r="A14" s="427"/>
      <c r="B14" s="427"/>
      <c r="C14" s="427"/>
      <c r="D14" s="427"/>
      <c r="E14" s="427"/>
      <c r="F14" s="427"/>
      <c r="G14" s="427"/>
      <c r="H14" s="427"/>
      <c r="I14" s="427"/>
      <c r="J14" s="427"/>
      <c r="K14" s="427"/>
      <c r="L14" s="427"/>
      <c r="M14" s="427"/>
      <c r="N14" s="427"/>
      <c r="O14" s="427"/>
      <c r="P14" s="10"/>
      <c r="Q14" s="10"/>
      <c r="R14" s="10"/>
      <c r="S14" s="10"/>
      <c r="T14" s="10"/>
      <c r="U14" s="10"/>
      <c r="V14" s="10"/>
      <c r="W14" s="10"/>
      <c r="X14" s="10"/>
      <c r="Y14" s="10"/>
      <c r="Z14" s="10"/>
    </row>
    <row r="15" spans="1:28" s="3" customFormat="1" ht="12" x14ac:dyDescent="0.2">
      <c r="A15" s="420"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5" s="420"/>
      <c r="C15" s="420"/>
      <c r="D15" s="420"/>
      <c r="E15" s="420"/>
      <c r="F15" s="420"/>
      <c r="G15" s="420"/>
      <c r="H15" s="420"/>
      <c r="I15" s="420"/>
      <c r="J15" s="420"/>
      <c r="K15" s="420"/>
      <c r="L15" s="420"/>
      <c r="M15" s="420"/>
      <c r="N15" s="420"/>
      <c r="O15" s="420"/>
      <c r="P15" s="8"/>
      <c r="Q15" s="8"/>
      <c r="R15" s="8"/>
      <c r="S15" s="8"/>
      <c r="T15" s="8"/>
      <c r="U15" s="8"/>
      <c r="V15" s="8"/>
      <c r="W15" s="8"/>
      <c r="X15" s="8"/>
      <c r="Y15" s="8"/>
      <c r="Z15" s="8"/>
    </row>
    <row r="16" spans="1:28" s="3" customFormat="1" ht="15" customHeight="1" x14ac:dyDescent="0.2">
      <c r="A16" s="422" t="s">
        <v>4</v>
      </c>
      <c r="B16" s="422"/>
      <c r="C16" s="422"/>
      <c r="D16" s="422"/>
      <c r="E16" s="422"/>
      <c r="F16" s="422"/>
      <c r="G16" s="422"/>
      <c r="H16" s="422"/>
      <c r="I16" s="422"/>
      <c r="J16" s="422"/>
      <c r="K16" s="422"/>
      <c r="L16" s="422"/>
      <c r="M16" s="422"/>
      <c r="N16" s="422"/>
      <c r="O16" s="422"/>
      <c r="P16" s="6"/>
      <c r="Q16" s="6"/>
      <c r="R16" s="6"/>
      <c r="S16" s="6"/>
      <c r="T16" s="6"/>
      <c r="U16" s="6"/>
      <c r="V16" s="6"/>
      <c r="W16" s="6"/>
      <c r="X16" s="6"/>
      <c r="Y16" s="6"/>
      <c r="Z16" s="6"/>
    </row>
    <row r="17" spans="1:26" s="3" customFormat="1" ht="15" customHeight="1" x14ac:dyDescent="0.2">
      <c r="A17" s="423"/>
      <c r="B17" s="423"/>
      <c r="C17" s="423"/>
      <c r="D17" s="423"/>
      <c r="E17" s="423"/>
      <c r="F17" s="423"/>
      <c r="G17" s="423"/>
      <c r="H17" s="423"/>
      <c r="I17" s="423"/>
      <c r="J17" s="423"/>
      <c r="K17" s="423"/>
      <c r="L17" s="423"/>
      <c r="M17" s="423"/>
      <c r="N17" s="423"/>
      <c r="O17" s="423"/>
      <c r="P17" s="4"/>
      <c r="Q17" s="4"/>
      <c r="R17" s="4"/>
      <c r="S17" s="4"/>
      <c r="T17" s="4"/>
      <c r="U17" s="4"/>
      <c r="V17" s="4"/>
      <c r="W17" s="4"/>
    </row>
    <row r="18" spans="1:26" s="3" customFormat="1" ht="91.5" customHeight="1" x14ac:dyDescent="0.2">
      <c r="A18" s="462" t="s">
        <v>493</v>
      </c>
      <c r="B18" s="462"/>
      <c r="C18" s="462"/>
      <c r="D18" s="462"/>
      <c r="E18" s="462"/>
      <c r="F18" s="462"/>
      <c r="G18" s="462"/>
      <c r="H18" s="462"/>
      <c r="I18" s="462"/>
      <c r="J18" s="462"/>
      <c r="K18" s="462"/>
      <c r="L18" s="462"/>
      <c r="M18" s="462"/>
      <c r="N18" s="462"/>
      <c r="O18" s="462"/>
      <c r="P18" s="7"/>
      <c r="Q18" s="7"/>
      <c r="R18" s="7"/>
      <c r="S18" s="7"/>
      <c r="T18" s="7"/>
      <c r="U18" s="7"/>
      <c r="V18" s="7"/>
      <c r="W18" s="7"/>
      <c r="X18" s="7"/>
      <c r="Y18" s="7"/>
      <c r="Z18" s="7"/>
    </row>
    <row r="19" spans="1:26" s="3" customFormat="1" ht="78" customHeight="1" x14ac:dyDescent="0.2">
      <c r="A19" s="428" t="s">
        <v>3</v>
      </c>
      <c r="B19" s="428" t="s">
        <v>82</v>
      </c>
      <c r="C19" s="428" t="s">
        <v>81</v>
      </c>
      <c r="D19" s="428" t="s">
        <v>73</v>
      </c>
      <c r="E19" s="463" t="s">
        <v>80</v>
      </c>
      <c r="F19" s="464"/>
      <c r="G19" s="464"/>
      <c r="H19" s="464"/>
      <c r="I19" s="465"/>
      <c r="J19" s="428" t="s">
        <v>79</v>
      </c>
      <c r="K19" s="428"/>
      <c r="L19" s="428"/>
      <c r="M19" s="428"/>
      <c r="N19" s="428"/>
      <c r="O19" s="428"/>
      <c r="P19" s="4"/>
      <c r="Q19" s="4"/>
      <c r="R19" s="4"/>
      <c r="S19" s="4"/>
      <c r="T19" s="4"/>
      <c r="U19" s="4"/>
      <c r="V19" s="4"/>
      <c r="W19" s="4"/>
    </row>
    <row r="20" spans="1:26" s="3" customFormat="1" ht="51" customHeight="1" x14ac:dyDescent="0.2">
      <c r="A20" s="428"/>
      <c r="B20" s="428"/>
      <c r="C20" s="428"/>
      <c r="D20" s="428"/>
      <c r="E20" s="41" t="s">
        <v>78</v>
      </c>
      <c r="F20" s="41" t="s">
        <v>77</v>
      </c>
      <c r="G20" s="41" t="s">
        <v>76</v>
      </c>
      <c r="H20" s="41" t="s">
        <v>75</v>
      </c>
      <c r="I20" s="41" t="s">
        <v>74</v>
      </c>
      <c r="J20" s="41">
        <v>2015</v>
      </c>
      <c r="K20" s="378">
        <v>2016</v>
      </c>
      <c r="L20" s="378">
        <v>2017</v>
      </c>
      <c r="M20" s="378">
        <v>2018</v>
      </c>
      <c r="N20" s="378">
        <v>2019</v>
      </c>
      <c r="O20" s="378">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704</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5" zoomScale="80" zoomScaleNormal="80" workbookViewId="0">
      <selection activeCell="C25" sqref="C25"/>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3"/>
      <c r="F2" s="173"/>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4"/>
      <c r="AR2" s="174"/>
    </row>
    <row r="3" spans="1:44" ht="18.75" x14ac:dyDescent="0.3">
      <c r="A3" s="17"/>
      <c r="B3" s="12"/>
      <c r="C3" s="12"/>
      <c r="D3" s="12"/>
      <c r="E3" s="173"/>
      <c r="F3" s="173"/>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4"/>
      <c r="AR3" s="17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5"/>
      <c r="AR4" s="175"/>
    </row>
    <row r="5" spans="1:44" x14ac:dyDescent="0.2">
      <c r="A5" s="471" t="str">
        <f>'1. паспорт местоположение'!A5:C5</f>
        <v>Год раскрытия информации: 2022 год</v>
      </c>
      <c r="B5" s="471"/>
      <c r="C5" s="471"/>
      <c r="D5" s="471"/>
      <c r="E5" s="471"/>
      <c r="F5" s="471"/>
      <c r="G5" s="471"/>
      <c r="H5" s="471"/>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5"/>
      <c r="AR6" s="175"/>
    </row>
    <row r="7" spans="1:44" ht="18.75" x14ac:dyDescent="0.2">
      <c r="A7" s="426" t="s">
        <v>7</v>
      </c>
      <c r="B7" s="426"/>
      <c r="C7" s="426"/>
      <c r="D7" s="426"/>
      <c r="E7" s="426"/>
      <c r="F7" s="426"/>
      <c r="G7" s="426"/>
      <c r="H7" s="426"/>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8"/>
      <c r="AR7" s="178"/>
    </row>
    <row r="8" spans="1:44" ht="18.75" x14ac:dyDescent="0.2">
      <c r="A8" s="389"/>
      <c r="B8" s="389"/>
      <c r="C8" s="389"/>
      <c r="D8" s="389"/>
      <c r="E8" s="389"/>
      <c r="F8" s="389"/>
      <c r="G8" s="389"/>
      <c r="H8" s="389"/>
      <c r="I8" s="389"/>
      <c r="J8" s="389"/>
      <c r="K8" s="389"/>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5"/>
      <c r="AR8" s="175"/>
    </row>
    <row r="9" spans="1:44" ht="18.75" x14ac:dyDescent="0.2">
      <c r="A9" s="435" t="str">
        <f>'1. паспорт местоположение'!A9:C9</f>
        <v>Акционерное общество "Янтарьэнерго" ДЗО  ПАО "Россети"</v>
      </c>
      <c r="B9" s="435"/>
      <c r="C9" s="435"/>
      <c r="D9" s="435"/>
      <c r="E9" s="435"/>
      <c r="F9" s="435"/>
      <c r="G9" s="435"/>
      <c r="H9" s="435"/>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22" t="s">
        <v>6</v>
      </c>
      <c r="B10" s="422"/>
      <c r="C10" s="422"/>
      <c r="D10" s="422"/>
      <c r="E10" s="422"/>
      <c r="F10" s="422"/>
      <c r="G10" s="422"/>
      <c r="H10" s="422"/>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80"/>
      <c r="AR10" s="180"/>
    </row>
    <row r="11" spans="1:44" ht="18.75" x14ac:dyDescent="0.2">
      <c r="A11" s="389"/>
      <c r="B11" s="389"/>
      <c r="C11" s="389"/>
      <c r="D11" s="389"/>
      <c r="E11" s="389"/>
      <c r="F11" s="389"/>
      <c r="G11" s="389"/>
      <c r="H11" s="389"/>
      <c r="I11" s="389"/>
      <c r="J11" s="389"/>
      <c r="K11" s="389"/>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5"/>
      <c r="AR11" s="175"/>
    </row>
    <row r="12" spans="1:44" ht="18.75" x14ac:dyDescent="0.2">
      <c r="A12" s="435" t="str">
        <f>'1. паспорт местоположение'!A12:C12</f>
        <v>I_16-0064</v>
      </c>
      <c r="B12" s="435"/>
      <c r="C12" s="435"/>
      <c r="D12" s="435"/>
      <c r="E12" s="435"/>
      <c r="F12" s="435"/>
      <c r="G12" s="435"/>
      <c r="H12" s="435"/>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22" t="s">
        <v>5</v>
      </c>
      <c r="B13" s="422"/>
      <c r="C13" s="422"/>
      <c r="D13" s="422"/>
      <c r="E13" s="422"/>
      <c r="F13" s="422"/>
      <c r="G13" s="422"/>
      <c r="H13" s="422"/>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80"/>
      <c r="AR13" s="180"/>
    </row>
    <row r="14" spans="1:44" ht="18.75" x14ac:dyDescent="0.2">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9"/>
      <c r="AA14" s="9"/>
      <c r="AB14" s="9"/>
      <c r="AC14" s="9"/>
      <c r="AD14" s="9"/>
      <c r="AE14" s="9"/>
      <c r="AF14" s="9"/>
      <c r="AG14" s="9"/>
      <c r="AH14" s="9"/>
      <c r="AI14" s="9"/>
      <c r="AJ14" s="9"/>
      <c r="AK14" s="9"/>
      <c r="AL14" s="9"/>
      <c r="AM14" s="9"/>
      <c r="AN14" s="9"/>
      <c r="AO14" s="9"/>
      <c r="AP14" s="9"/>
      <c r="AQ14" s="181"/>
      <c r="AR14" s="181"/>
    </row>
    <row r="15" spans="1:44" ht="44.25" customHeight="1" x14ac:dyDescent="0.2">
      <c r="A15" s="472" t="str">
        <f>'1. паспорт местоположение'!A15:C15</f>
        <v>Реконструкция ЗРУ 15 кВ ПС О-35 "Космодемьяновская" с установкой в резервной ячейке вакуумного выключателя на 2-ой секции 15 кВ (инв.№ 5146310)</v>
      </c>
      <c r="B15" s="424"/>
      <c r="C15" s="424"/>
      <c r="D15" s="424"/>
      <c r="E15" s="424"/>
      <c r="F15" s="424"/>
      <c r="G15" s="424"/>
      <c r="H15" s="424"/>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22" t="s">
        <v>4</v>
      </c>
      <c r="B16" s="422"/>
      <c r="C16" s="422"/>
      <c r="D16" s="422"/>
      <c r="E16" s="422"/>
      <c r="F16" s="422"/>
      <c r="G16" s="422"/>
      <c r="H16" s="422"/>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80"/>
      <c r="AR16" s="180"/>
    </row>
    <row r="17" spans="1:44" ht="18.75" x14ac:dyDescent="0.2">
      <c r="A17" s="391"/>
      <c r="B17" s="391"/>
      <c r="C17" s="391"/>
      <c r="D17" s="391"/>
      <c r="E17" s="391"/>
      <c r="F17" s="391"/>
      <c r="G17" s="391"/>
      <c r="H17" s="391"/>
      <c r="I17" s="391"/>
      <c r="J17" s="391"/>
      <c r="K17" s="391"/>
      <c r="L17" s="391"/>
      <c r="M17" s="391"/>
      <c r="N17" s="391"/>
      <c r="O17" s="391"/>
      <c r="P17" s="391"/>
      <c r="Q17" s="391"/>
      <c r="R17" s="391"/>
      <c r="S17" s="391"/>
      <c r="T17" s="391"/>
      <c r="U17" s="391"/>
      <c r="V17" s="391"/>
      <c r="W17" s="3"/>
      <c r="X17" s="3"/>
      <c r="Y17" s="3"/>
      <c r="Z17" s="3"/>
      <c r="AA17" s="3"/>
      <c r="AB17" s="3"/>
      <c r="AC17" s="3"/>
      <c r="AD17" s="3"/>
      <c r="AE17" s="3"/>
      <c r="AF17" s="3"/>
      <c r="AG17" s="3"/>
      <c r="AH17" s="3"/>
      <c r="AI17" s="3"/>
      <c r="AJ17" s="3"/>
      <c r="AK17" s="3"/>
      <c r="AL17" s="3"/>
      <c r="AM17" s="3"/>
      <c r="AN17" s="3"/>
      <c r="AO17" s="3"/>
      <c r="AP17" s="3"/>
      <c r="AQ17" s="182"/>
      <c r="AR17" s="182"/>
    </row>
    <row r="18" spans="1:44" ht="18.75" x14ac:dyDescent="0.2">
      <c r="A18" s="435" t="s">
        <v>494</v>
      </c>
      <c r="B18" s="435"/>
      <c r="C18" s="435"/>
      <c r="D18" s="435"/>
      <c r="E18" s="435"/>
      <c r="F18" s="435"/>
      <c r="G18" s="435"/>
      <c r="H18" s="43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533</v>
      </c>
      <c r="B25" s="193">
        <f>$B$126/1.2</f>
        <v>1263025.2</v>
      </c>
    </row>
    <row r="26" spans="1:44" x14ac:dyDescent="0.2">
      <c r="A26" s="194" t="s">
        <v>342</v>
      </c>
      <c r="B26" s="316">
        <v>0</v>
      </c>
    </row>
    <row r="27" spans="1:44" x14ac:dyDescent="0.2">
      <c r="A27" s="194" t="s">
        <v>340</v>
      </c>
      <c r="B27" s="316">
        <f>$B$123</f>
        <v>30</v>
      </c>
      <c r="D27" s="187" t="s">
        <v>343</v>
      </c>
    </row>
    <row r="28" spans="1:44" ht="16.149999999999999" customHeight="1" thickBot="1" x14ac:dyDescent="0.25">
      <c r="A28" s="195" t="s">
        <v>338</v>
      </c>
      <c r="B28" s="196">
        <v>1</v>
      </c>
      <c r="D28" s="466" t="s">
        <v>341</v>
      </c>
      <c r="E28" s="467"/>
      <c r="F28" s="468"/>
      <c r="G28" s="469" t="str">
        <f>IF(SUM(B89:L89)=0,"не окупается",SUM(B89:L89))</f>
        <v>не окупается</v>
      </c>
      <c r="H28" s="470"/>
    </row>
    <row r="29" spans="1:44" ht="15.6" customHeight="1" x14ac:dyDescent="0.2">
      <c r="A29" s="192" t="s">
        <v>336</v>
      </c>
      <c r="B29" s="193">
        <f>$B$126*$B$127</f>
        <v>15156.3024</v>
      </c>
      <c r="D29" s="466" t="s">
        <v>339</v>
      </c>
      <c r="E29" s="467"/>
      <c r="F29" s="468"/>
      <c r="G29" s="469" t="str">
        <f>IF(SUM(B90:L90)=0,"не окупается",SUM(B90:L90))</f>
        <v>не окупается</v>
      </c>
      <c r="H29" s="470"/>
    </row>
    <row r="30" spans="1:44" ht="27.6" customHeight="1" x14ac:dyDescent="0.2">
      <c r="A30" s="194" t="s">
        <v>534</v>
      </c>
      <c r="B30" s="316">
        <v>1</v>
      </c>
      <c r="D30" s="466" t="s">
        <v>337</v>
      </c>
      <c r="E30" s="467"/>
      <c r="F30" s="468"/>
      <c r="G30" s="475">
        <f>L87</f>
        <v>-216417.45900990686</v>
      </c>
      <c r="H30" s="476"/>
    </row>
    <row r="31" spans="1:44" x14ac:dyDescent="0.2">
      <c r="A31" s="194" t="s">
        <v>335</v>
      </c>
      <c r="B31" s="316">
        <v>1</v>
      </c>
      <c r="D31" s="477"/>
      <c r="E31" s="478"/>
      <c r="F31" s="479"/>
      <c r="G31" s="477"/>
      <c r="H31" s="479"/>
    </row>
    <row r="32" spans="1:44" x14ac:dyDescent="0.2">
      <c r="A32" s="194" t="s">
        <v>313</v>
      </c>
      <c r="B32" s="316"/>
    </row>
    <row r="33" spans="1:42" x14ac:dyDescent="0.2">
      <c r="A33" s="194" t="s">
        <v>334</v>
      </c>
      <c r="B33" s="316"/>
    </row>
    <row r="34" spans="1:42" x14ac:dyDescent="0.2">
      <c r="A34" s="194" t="s">
        <v>333</v>
      </c>
      <c r="B34" s="316"/>
    </row>
    <row r="35" spans="1:42" x14ac:dyDescent="0.2">
      <c r="A35" s="317"/>
      <c r="B35" s="316"/>
    </row>
    <row r="36" spans="1:42" ht="16.5" thickBot="1" x14ac:dyDescent="0.25">
      <c r="A36" s="195" t="s">
        <v>305</v>
      </c>
      <c r="B36" s="197">
        <v>0.2</v>
      </c>
    </row>
    <row r="37" spans="1:42" x14ac:dyDescent="0.2">
      <c r="A37" s="192" t="s">
        <v>535</v>
      </c>
      <c r="B37" s="193">
        <v>0</v>
      </c>
    </row>
    <row r="38" spans="1:42" x14ac:dyDescent="0.2">
      <c r="A38" s="194" t="s">
        <v>332</v>
      </c>
      <c r="B38" s="316"/>
    </row>
    <row r="39" spans="1:42" ht="16.5" thickBot="1" x14ac:dyDescent="0.25">
      <c r="A39" s="318" t="s">
        <v>331</v>
      </c>
      <c r="B39" s="319"/>
    </row>
    <row r="40" spans="1:42" x14ac:dyDescent="0.2">
      <c r="A40" s="198" t="s">
        <v>536</v>
      </c>
      <c r="B40" s="199">
        <v>1</v>
      </c>
    </row>
    <row r="41" spans="1:42" x14ac:dyDescent="0.2">
      <c r="A41" s="200" t="s">
        <v>330</v>
      </c>
      <c r="B41" s="201"/>
    </row>
    <row r="42" spans="1:42" x14ac:dyDescent="0.2">
      <c r="A42" s="200" t="s">
        <v>329</v>
      </c>
      <c r="B42" s="202"/>
    </row>
    <row r="43" spans="1:42" x14ac:dyDescent="0.2">
      <c r="A43" s="200" t="s">
        <v>328</v>
      </c>
      <c r="B43" s="202">
        <v>0</v>
      </c>
    </row>
    <row r="44" spans="1:42" x14ac:dyDescent="0.2">
      <c r="A44" s="200" t="s">
        <v>327</v>
      </c>
      <c r="B44" s="202">
        <f>B129</f>
        <v>0.20499999999999999</v>
      </c>
    </row>
    <row r="45" spans="1:42" x14ac:dyDescent="0.2">
      <c r="A45" s="200" t="s">
        <v>326</v>
      </c>
      <c r="B45" s="202">
        <f>1-B43</f>
        <v>1</v>
      </c>
    </row>
    <row r="46" spans="1:42" ht="16.5" thickBot="1" x14ac:dyDescent="0.25">
      <c r="A46" s="320" t="s">
        <v>325</v>
      </c>
      <c r="B46" s="321">
        <f>B45*B44+B43*B42*(1-B36)</f>
        <v>0.20499999999999999</v>
      </c>
      <c r="C46" s="203"/>
    </row>
    <row r="47" spans="1:42" s="206" customFormat="1" x14ac:dyDescent="0.2">
      <c r="A47" s="204" t="s">
        <v>324</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323</v>
      </c>
      <c r="B48" s="333">
        <f>F136</f>
        <v>4.2000000000000003E-2</v>
      </c>
      <c r="C48" s="333">
        <f t="shared" ref="C48:R49" si="1">G136</f>
        <v>4.2000000000000003E-2</v>
      </c>
      <c r="D48" s="333">
        <f t="shared" si="1"/>
        <v>4.2000000000000003E-2</v>
      </c>
      <c r="E48" s="333">
        <f t="shared" si="1"/>
        <v>4.2000000000000003E-2</v>
      </c>
      <c r="F48" s="333">
        <f t="shared" si="1"/>
        <v>4.2000000000000003E-2</v>
      </c>
      <c r="G48" s="333">
        <f t="shared" si="1"/>
        <v>4.2000000000000003E-2</v>
      </c>
      <c r="H48" s="333">
        <f t="shared" si="1"/>
        <v>4.2000000000000003E-2</v>
      </c>
      <c r="I48" s="333">
        <f t="shared" si="1"/>
        <v>4.2000000000000003E-2</v>
      </c>
      <c r="J48" s="333">
        <f t="shared" si="1"/>
        <v>4.2000000000000003E-2</v>
      </c>
      <c r="K48" s="333">
        <f t="shared" si="1"/>
        <v>4.2000000000000003E-2</v>
      </c>
      <c r="L48" s="333">
        <f t="shared" si="1"/>
        <v>4.2000000000000003E-2</v>
      </c>
      <c r="M48" s="333">
        <f t="shared" si="1"/>
        <v>4.2000000000000003E-2</v>
      </c>
      <c r="N48" s="333">
        <f t="shared" si="1"/>
        <v>4.2000000000000003E-2</v>
      </c>
      <c r="O48" s="333">
        <f t="shared" si="1"/>
        <v>4.2000000000000003E-2</v>
      </c>
      <c r="P48" s="333">
        <f t="shared" si="1"/>
        <v>4.2000000000000003E-2</v>
      </c>
      <c r="Q48" s="333">
        <f t="shared" si="1"/>
        <v>4.2000000000000003E-2</v>
      </c>
      <c r="R48" s="333">
        <f t="shared" si="1"/>
        <v>4.2000000000000003E-2</v>
      </c>
      <c r="S48" s="333">
        <f t="shared" ref="S48:AH49" si="2">W136</f>
        <v>4.2000000000000003E-2</v>
      </c>
      <c r="T48" s="333">
        <f t="shared" si="2"/>
        <v>4.2000000000000003E-2</v>
      </c>
      <c r="U48" s="333">
        <f t="shared" si="2"/>
        <v>4.2000000000000003E-2</v>
      </c>
      <c r="V48" s="333">
        <f t="shared" si="2"/>
        <v>4.2000000000000003E-2</v>
      </c>
      <c r="W48" s="333">
        <f t="shared" si="2"/>
        <v>4.2000000000000003E-2</v>
      </c>
      <c r="X48" s="333">
        <f t="shared" si="2"/>
        <v>4.2000000000000003E-2</v>
      </c>
      <c r="Y48" s="333">
        <f t="shared" si="2"/>
        <v>4.2000000000000003E-2</v>
      </c>
      <c r="Z48" s="333">
        <f t="shared" si="2"/>
        <v>4.2000000000000003E-2</v>
      </c>
      <c r="AA48" s="333">
        <f t="shared" si="2"/>
        <v>4.2000000000000003E-2</v>
      </c>
      <c r="AB48" s="333">
        <f t="shared" si="2"/>
        <v>4.2000000000000003E-2</v>
      </c>
      <c r="AC48" s="333">
        <f t="shared" si="2"/>
        <v>4.2000000000000003E-2</v>
      </c>
      <c r="AD48" s="333">
        <f t="shared" si="2"/>
        <v>4.2000000000000003E-2</v>
      </c>
      <c r="AE48" s="333">
        <f t="shared" si="2"/>
        <v>4.2000000000000003E-2</v>
      </c>
      <c r="AF48" s="333">
        <f t="shared" si="2"/>
        <v>4.2000000000000003E-2</v>
      </c>
      <c r="AG48" s="333">
        <f t="shared" si="2"/>
        <v>4.2000000000000003E-2</v>
      </c>
      <c r="AH48" s="333">
        <f t="shared" si="2"/>
        <v>4.2000000000000003E-2</v>
      </c>
      <c r="AI48" s="333">
        <f t="shared" ref="AI48:AP49" si="3">AM136</f>
        <v>4.2000000000000003E-2</v>
      </c>
      <c r="AJ48" s="333">
        <f t="shared" si="3"/>
        <v>4.2000000000000003E-2</v>
      </c>
      <c r="AK48" s="333">
        <f t="shared" si="3"/>
        <v>4.2000000000000003E-2</v>
      </c>
      <c r="AL48" s="333">
        <f t="shared" si="3"/>
        <v>4.2000000000000003E-2</v>
      </c>
      <c r="AM48" s="333">
        <f t="shared" si="3"/>
        <v>4.2000000000000003E-2</v>
      </c>
      <c r="AN48" s="333">
        <f t="shared" si="3"/>
        <v>4.2000000000000003E-2</v>
      </c>
      <c r="AO48" s="333">
        <f t="shared" si="3"/>
        <v>4.2000000000000003E-2</v>
      </c>
      <c r="AP48" s="333">
        <f t="shared" si="3"/>
        <v>4.2000000000000003E-2</v>
      </c>
    </row>
    <row r="49" spans="1:45" s="206" customFormat="1" x14ac:dyDescent="0.2">
      <c r="A49" s="207" t="s">
        <v>322</v>
      </c>
      <c r="B49" s="333">
        <f>F137</f>
        <v>0.13788900800000015</v>
      </c>
      <c r="C49" s="333">
        <f t="shared" si="1"/>
        <v>0.18568034633600017</v>
      </c>
      <c r="D49" s="333">
        <f t="shared" si="1"/>
        <v>0.2354789208821122</v>
      </c>
      <c r="E49" s="333">
        <f t="shared" si="1"/>
        <v>0.28736903555916093</v>
      </c>
      <c r="F49" s="333">
        <f t="shared" si="1"/>
        <v>0.34143853505264565</v>
      </c>
      <c r="G49" s="333">
        <f t="shared" si="1"/>
        <v>0.39777895352485682</v>
      </c>
      <c r="H49" s="333">
        <f t="shared" si="1"/>
        <v>0.45648566957290093</v>
      </c>
      <c r="I49" s="333">
        <f t="shared" si="1"/>
        <v>0.51765806769496292</v>
      </c>
      <c r="J49" s="333">
        <f t="shared" si="1"/>
        <v>0.58139970653815132</v>
      </c>
      <c r="K49" s="333">
        <f t="shared" si="1"/>
        <v>0.64781849421275384</v>
      </c>
      <c r="L49" s="333">
        <f t="shared" si="1"/>
        <v>0.71702687096968964</v>
      </c>
      <c r="M49" s="333">
        <f t="shared" si="1"/>
        <v>0.78914199955041675</v>
      </c>
      <c r="N49" s="333">
        <f t="shared" si="1"/>
        <v>0.86428596353153431</v>
      </c>
      <c r="O49" s="333">
        <f t="shared" si="1"/>
        <v>0.94258597399985877</v>
      </c>
      <c r="P49" s="333">
        <f t="shared" si="1"/>
        <v>1.0241745849078527</v>
      </c>
      <c r="Q49" s="333">
        <f t="shared" si="1"/>
        <v>1.1091899174739828</v>
      </c>
      <c r="R49" s="333">
        <f t="shared" si="1"/>
        <v>1.19777589400789</v>
      </c>
      <c r="S49" s="333">
        <f t="shared" si="2"/>
        <v>1.2900824815562215</v>
      </c>
      <c r="T49" s="333">
        <f t="shared" si="2"/>
        <v>1.3862659457815827</v>
      </c>
      <c r="U49" s="333">
        <f t="shared" si="2"/>
        <v>1.4864891155044093</v>
      </c>
      <c r="V49" s="333">
        <f t="shared" si="2"/>
        <v>1.5909216583555947</v>
      </c>
      <c r="W49" s="333">
        <f t="shared" si="2"/>
        <v>1.6997403680065299</v>
      </c>
      <c r="X49" s="333">
        <f t="shared" si="2"/>
        <v>1.8131294634628041</v>
      </c>
      <c r="Y49" s="333">
        <f t="shared" si="2"/>
        <v>1.9312809009282419</v>
      </c>
      <c r="Z49" s="333">
        <f t="shared" si="2"/>
        <v>2.0543946987672284</v>
      </c>
      <c r="AA49" s="333">
        <f t="shared" si="2"/>
        <v>2.1826792761154521</v>
      </c>
      <c r="AB49" s="333">
        <f t="shared" si="2"/>
        <v>2.3163518057123014</v>
      </c>
      <c r="AC49" s="333">
        <f t="shared" si="2"/>
        <v>2.4556385815522184</v>
      </c>
      <c r="AD49" s="333">
        <f t="shared" si="2"/>
        <v>2.6007754019774119</v>
      </c>
      <c r="AE49" s="333">
        <f t="shared" si="2"/>
        <v>2.7520079688604633</v>
      </c>
      <c r="AF49" s="333">
        <f t="shared" si="2"/>
        <v>2.909592303552603</v>
      </c>
      <c r="AG49" s="333">
        <f t="shared" si="2"/>
        <v>3.0737951803018122</v>
      </c>
      <c r="AH49" s="333">
        <f t="shared" si="2"/>
        <v>3.2448945778744882</v>
      </c>
      <c r="AI49" s="333">
        <f t="shared" si="3"/>
        <v>3.4231801501452166</v>
      </c>
      <c r="AJ49" s="333">
        <f t="shared" si="3"/>
        <v>3.6089537164513157</v>
      </c>
      <c r="AK49" s="333">
        <f t="shared" si="3"/>
        <v>3.8025297725422709</v>
      </c>
      <c r="AL49" s="333">
        <f t="shared" si="3"/>
        <v>4.0042360229890468</v>
      </c>
      <c r="AM49" s="333">
        <f t="shared" si="3"/>
        <v>4.2144139359545871</v>
      </c>
      <c r="AN49" s="333">
        <f t="shared" si="3"/>
        <v>4.4334193212646804</v>
      </c>
      <c r="AO49" s="333">
        <f t="shared" si="3"/>
        <v>4.6616229327577976</v>
      </c>
      <c r="AP49" s="333">
        <f t="shared" si="3"/>
        <v>4.8994110959336252</v>
      </c>
    </row>
    <row r="50" spans="1:45" s="206" customFormat="1" ht="16.5" thickBot="1" x14ac:dyDescent="0.25">
      <c r="A50" s="208" t="s">
        <v>537</v>
      </c>
      <c r="B50" s="209">
        <f>IF($B$124="да",($B$126-0.05),0)</f>
        <v>1515630.19</v>
      </c>
      <c r="C50" s="209">
        <f>C108*(1+C49)</f>
        <v>0</v>
      </c>
      <c r="D50" s="209">
        <f t="shared" ref="D50:AP50" si="4">D108*(1+D49)</f>
        <v>0</v>
      </c>
      <c r="E50" s="209">
        <f t="shared" si="4"/>
        <v>0</v>
      </c>
      <c r="F50" s="209">
        <f t="shared" si="4"/>
        <v>0</v>
      </c>
      <c r="G50" s="209">
        <f t="shared" si="4"/>
        <v>0</v>
      </c>
      <c r="H50" s="209">
        <f t="shared" si="4"/>
        <v>0</v>
      </c>
      <c r="I50" s="209">
        <f t="shared" si="4"/>
        <v>0</v>
      </c>
      <c r="J50" s="209">
        <f t="shared" si="4"/>
        <v>0</v>
      </c>
      <c r="K50" s="209">
        <f t="shared" si="4"/>
        <v>0</v>
      </c>
      <c r="L50" s="209">
        <f t="shared" si="4"/>
        <v>0</v>
      </c>
      <c r="M50" s="209">
        <f t="shared" si="4"/>
        <v>0</v>
      </c>
      <c r="N50" s="209">
        <f t="shared" si="4"/>
        <v>0</v>
      </c>
      <c r="O50" s="209">
        <f t="shared" si="4"/>
        <v>0</v>
      </c>
      <c r="P50" s="209">
        <f t="shared" si="4"/>
        <v>0</v>
      </c>
      <c r="Q50" s="209">
        <f t="shared" si="4"/>
        <v>0</v>
      </c>
      <c r="R50" s="209">
        <f t="shared" si="4"/>
        <v>0</v>
      </c>
      <c r="S50" s="209">
        <f t="shared" si="4"/>
        <v>0</v>
      </c>
      <c r="T50" s="209">
        <f t="shared" si="4"/>
        <v>0</v>
      </c>
      <c r="U50" s="209">
        <f t="shared" si="4"/>
        <v>0</v>
      </c>
      <c r="V50" s="209">
        <f t="shared" si="4"/>
        <v>0</v>
      </c>
      <c r="W50" s="209">
        <f t="shared" si="4"/>
        <v>0</v>
      </c>
      <c r="X50" s="209">
        <f t="shared" si="4"/>
        <v>0</v>
      </c>
      <c r="Y50" s="209">
        <f t="shared" si="4"/>
        <v>0</v>
      </c>
      <c r="Z50" s="209">
        <f t="shared" si="4"/>
        <v>0</v>
      </c>
      <c r="AA50" s="209">
        <f t="shared" si="4"/>
        <v>0</v>
      </c>
      <c r="AB50" s="209">
        <f t="shared" si="4"/>
        <v>0</v>
      </c>
      <c r="AC50" s="209">
        <f t="shared" si="4"/>
        <v>0</v>
      </c>
      <c r="AD50" s="209">
        <f t="shared" si="4"/>
        <v>0</v>
      </c>
      <c r="AE50" s="209">
        <f t="shared" si="4"/>
        <v>0</v>
      </c>
      <c r="AF50" s="209">
        <f t="shared" si="4"/>
        <v>0</v>
      </c>
      <c r="AG50" s="209">
        <f t="shared" si="4"/>
        <v>0</v>
      </c>
      <c r="AH50" s="209">
        <f t="shared" si="4"/>
        <v>0</v>
      </c>
      <c r="AI50" s="209">
        <f t="shared" si="4"/>
        <v>0</v>
      </c>
      <c r="AJ50" s="209">
        <f t="shared" si="4"/>
        <v>0</v>
      </c>
      <c r="AK50" s="209">
        <f t="shared" si="4"/>
        <v>0</v>
      </c>
      <c r="AL50" s="209">
        <f t="shared" si="4"/>
        <v>0</v>
      </c>
      <c r="AM50" s="209">
        <f t="shared" si="4"/>
        <v>0</v>
      </c>
      <c r="AN50" s="209">
        <f t="shared" si="4"/>
        <v>0</v>
      </c>
      <c r="AO50" s="209">
        <f t="shared" si="4"/>
        <v>0</v>
      </c>
      <c r="AP50" s="209">
        <f t="shared" si="4"/>
        <v>0</v>
      </c>
    </row>
    <row r="51" spans="1:45" ht="16.5" thickBot="1" x14ac:dyDescent="0.25"/>
    <row r="52" spans="1:45" x14ac:dyDescent="0.2">
      <c r="A52" s="210" t="s">
        <v>321</v>
      </c>
      <c r="B52" s="211">
        <f>B58</f>
        <v>1</v>
      </c>
      <c r="C52" s="211">
        <f t="shared" ref="C52:AO52" si="5">C58</f>
        <v>2</v>
      </c>
      <c r="D52" s="211">
        <f t="shared" si="5"/>
        <v>3</v>
      </c>
      <c r="E52" s="211">
        <f t="shared" si="5"/>
        <v>4</v>
      </c>
      <c r="F52" s="211">
        <f t="shared" si="5"/>
        <v>5</v>
      </c>
      <c r="G52" s="211">
        <f t="shared" si="5"/>
        <v>6</v>
      </c>
      <c r="H52" s="211">
        <f t="shared" si="5"/>
        <v>7</v>
      </c>
      <c r="I52" s="211">
        <f t="shared" si="5"/>
        <v>8</v>
      </c>
      <c r="J52" s="211">
        <f t="shared" si="5"/>
        <v>9</v>
      </c>
      <c r="K52" s="211">
        <f t="shared" si="5"/>
        <v>10</v>
      </c>
      <c r="L52" s="211">
        <f t="shared" si="5"/>
        <v>11</v>
      </c>
      <c r="M52" s="211">
        <f t="shared" si="5"/>
        <v>12</v>
      </c>
      <c r="N52" s="211">
        <f t="shared" si="5"/>
        <v>13</v>
      </c>
      <c r="O52" s="211">
        <f t="shared" si="5"/>
        <v>14</v>
      </c>
      <c r="P52" s="211">
        <f t="shared" si="5"/>
        <v>15</v>
      </c>
      <c r="Q52" s="211">
        <f t="shared" si="5"/>
        <v>16</v>
      </c>
      <c r="R52" s="211">
        <f t="shared" si="5"/>
        <v>17</v>
      </c>
      <c r="S52" s="211">
        <f t="shared" si="5"/>
        <v>18</v>
      </c>
      <c r="T52" s="211">
        <f t="shared" si="5"/>
        <v>19</v>
      </c>
      <c r="U52" s="211">
        <f t="shared" si="5"/>
        <v>20</v>
      </c>
      <c r="V52" s="211">
        <f t="shared" si="5"/>
        <v>21</v>
      </c>
      <c r="W52" s="211">
        <f t="shared" si="5"/>
        <v>22</v>
      </c>
      <c r="X52" s="211">
        <f t="shared" si="5"/>
        <v>23</v>
      </c>
      <c r="Y52" s="211">
        <f t="shared" si="5"/>
        <v>24</v>
      </c>
      <c r="Z52" s="211">
        <f t="shared" si="5"/>
        <v>25</v>
      </c>
      <c r="AA52" s="211">
        <f t="shared" si="5"/>
        <v>26</v>
      </c>
      <c r="AB52" s="211">
        <f t="shared" si="5"/>
        <v>27</v>
      </c>
      <c r="AC52" s="211">
        <f t="shared" si="5"/>
        <v>28</v>
      </c>
      <c r="AD52" s="211">
        <f t="shared" si="5"/>
        <v>29</v>
      </c>
      <c r="AE52" s="211">
        <f t="shared" si="5"/>
        <v>30</v>
      </c>
      <c r="AF52" s="211">
        <f t="shared" si="5"/>
        <v>31</v>
      </c>
      <c r="AG52" s="211">
        <f t="shared" si="5"/>
        <v>32</v>
      </c>
      <c r="AH52" s="211">
        <f t="shared" si="5"/>
        <v>33</v>
      </c>
      <c r="AI52" s="211">
        <f t="shared" si="5"/>
        <v>34</v>
      </c>
      <c r="AJ52" s="211">
        <f t="shared" si="5"/>
        <v>35</v>
      </c>
      <c r="AK52" s="211">
        <f t="shared" si="5"/>
        <v>36</v>
      </c>
      <c r="AL52" s="211">
        <f t="shared" si="5"/>
        <v>37</v>
      </c>
      <c r="AM52" s="211">
        <f t="shared" si="5"/>
        <v>38</v>
      </c>
      <c r="AN52" s="211">
        <f t="shared" si="5"/>
        <v>39</v>
      </c>
      <c r="AO52" s="211">
        <f t="shared" si="5"/>
        <v>40</v>
      </c>
      <c r="AP52" s="211">
        <f>AP58</f>
        <v>41</v>
      </c>
    </row>
    <row r="53" spans="1:45" x14ac:dyDescent="0.2">
      <c r="A53" s="212" t="s">
        <v>320</v>
      </c>
      <c r="B53" s="334">
        <v>0</v>
      </c>
      <c r="C53" s="334">
        <f t="shared" ref="C53:AP53" si="6">B53+B54-B55</f>
        <v>0</v>
      </c>
      <c r="D53" s="334">
        <f t="shared" si="6"/>
        <v>0</v>
      </c>
      <c r="E53" s="334">
        <f t="shared" si="6"/>
        <v>0</v>
      </c>
      <c r="F53" s="334">
        <f t="shared" si="6"/>
        <v>0</v>
      </c>
      <c r="G53" s="334">
        <f t="shared" si="6"/>
        <v>0</v>
      </c>
      <c r="H53" s="334">
        <f t="shared" si="6"/>
        <v>0</v>
      </c>
      <c r="I53" s="334">
        <f t="shared" si="6"/>
        <v>0</v>
      </c>
      <c r="J53" s="334">
        <f t="shared" si="6"/>
        <v>0</v>
      </c>
      <c r="K53" s="334">
        <f t="shared" si="6"/>
        <v>0</v>
      </c>
      <c r="L53" s="334">
        <f t="shared" si="6"/>
        <v>0</v>
      </c>
      <c r="M53" s="334">
        <f t="shared" si="6"/>
        <v>0</v>
      </c>
      <c r="N53" s="334">
        <f t="shared" si="6"/>
        <v>0</v>
      </c>
      <c r="O53" s="334">
        <f t="shared" si="6"/>
        <v>0</v>
      </c>
      <c r="P53" s="334">
        <f t="shared" si="6"/>
        <v>0</v>
      </c>
      <c r="Q53" s="334">
        <f t="shared" si="6"/>
        <v>0</v>
      </c>
      <c r="R53" s="334">
        <f t="shared" si="6"/>
        <v>0</v>
      </c>
      <c r="S53" s="334">
        <f t="shared" si="6"/>
        <v>0</v>
      </c>
      <c r="T53" s="334">
        <f t="shared" si="6"/>
        <v>0</v>
      </c>
      <c r="U53" s="334">
        <f t="shared" si="6"/>
        <v>0</v>
      </c>
      <c r="V53" s="334">
        <f t="shared" si="6"/>
        <v>0</v>
      </c>
      <c r="W53" s="334">
        <f t="shared" si="6"/>
        <v>0</v>
      </c>
      <c r="X53" s="334">
        <f t="shared" si="6"/>
        <v>0</v>
      </c>
      <c r="Y53" s="334">
        <f t="shared" si="6"/>
        <v>0</v>
      </c>
      <c r="Z53" s="334">
        <f t="shared" si="6"/>
        <v>0</v>
      </c>
      <c r="AA53" s="334">
        <f t="shared" si="6"/>
        <v>0</v>
      </c>
      <c r="AB53" s="334">
        <f t="shared" si="6"/>
        <v>0</v>
      </c>
      <c r="AC53" s="334">
        <f t="shared" si="6"/>
        <v>0</v>
      </c>
      <c r="AD53" s="334">
        <f t="shared" si="6"/>
        <v>0</v>
      </c>
      <c r="AE53" s="334">
        <f t="shared" si="6"/>
        <v>0</v>
      </c>
      <c r="AF53" s="334">
        <f t="shared" si="6"/>
        <v>0</v>
      </c>
      <c r="AG53" s="334">
        <f t="shared" si="6"/>
        <v>0</v>
      </c>
      <c r="AH53" s="334">
        <f t="shared" si="6"/>
        <v>0</v>
      </c>
      <c r="AI53" s="334">
        <f t="shared" si="6"/>
        <v>0</v>
      </c>
      <c r="AJ53" s="334">
        <f t="shared" si="6"/>
        <v>0</v>
      </c>
      <c r="AK53" s="334">
        <f t="shared" si="6"/>
        <v>0</v>
      </c>
      <c r="AL53" s="334">
        <f t="shared" si="6"/>
        <v>0</v>
      </c>
      <c r="AM53" s="334">
        <f t="shared" si="6"/>
        <v>0</v>
      </c>
      <c r="AN53" s="334">
        <f t="shared" si="6"/>
        <v>0</v>
      </c>
      <c r="AO53" s="334">
        <f t="shared" si="6"/>
        <v>0</v>
      </c>
      <c r="AP53" s="334">
        <f t="shared" si="6"/>
        <v>0</v>
      </c>
    </row>
    <row r="54" spans="1:45" x14ac:dyDescent="0.2">
      <c r="A54" s="212" t="s">
        <v>319</v>
      </c>
      <c r="B54" s="334">
        <f>B25*B28*B43*1.18</f>
        <v>0</v>
      </c>
      <c r="C54" s="334">
        <v>0</v>
      </c>
      <c r="D54" s="334">
        <v>0</v>
      </c>
      <c r="E54" s="334">
        <v>0</v>
      </c>
      <c r="F54" s="334">
        <v>0</v>
      </c>
      <c r="G54" s="334">
        <v>0</v>
      </c>
      <c r="H54" s="334">
        <v>0</v>
      </c>
      <c r="I54" s="334">
        <v>0</v>
      </c>
      <c r="J54" s="334">
        <v>0</v>
      </c>
      <c r="K54" s="334">
        <v>0</v>
      </c>
      <c r="L54" s="334">
        <v>0</v>
      </c>
      <c r="M54" s="334">
        <v>0</v>
      </c>
      <c r="N54" s="334">
        <v>0</v>
      </c>
      <c r="O54" s="334">
        <v>0</v>
      </c>
      <c r="P54" s="334">
        <v>0</v>
      </c>
      <c r="Q54" s="334">
        <v>0</v>
      </c>
      <c r="R54" s="334">
        <v>0</v>
      </c>
      <c r="S54" s="334">
        <v>0</v>
      </c>
      <c r="T54" s="334">
        <v>0</v>
      </c>
      <c r="U54" s="334">
        <v>0</v>
      </c>
      <c r="V54" s="334">
        <v>0</v>
      </c>
      <c r="W54" s="334">
        <v>0</v>
      </c>
      <c r="X54" s="334">
        <v>0</v>
      </c>
      <c r="Y54" s="334">
        <v>0</v>
      </c>
      <c r="Z54" s="334">
        <v>0</v>
      </c>
      <c r="AA54" s="334">
        <v>0</v>
      </c>
      <c r="AB54" s="334">
        <v>0</v>
      </c>
      <c r="AC54" s="334">
        <v>0</v>
      </c>
      <c r="AD54" s="334">
        <v>0</v>
      </c>
      <c r="AE54" s="334">
        <v>0</v>
      </c>
      <c r="AF54" s="334">
        <v>0</v>
      </c>
      <c r="AG54" s="334">
        <v>0</v>
      </c>
      <c r="AH54" s="334">
        <v>0</v>
      </c>
      <c r="AI54" s="334">
        <v>0</v>
      </c>
      <c r="AJ54" s="334">
        <v>0</v>
      </c>
      <c r="AK54" s="334">
        <v>0</v>
      </c>
      <c r="AL54" s="334">
        <v>0</v>
      </c>
      <c r="AM54" s="334">
        <v>0</v>
      </c>
      <c r="AN54" s="334">
        <v>0</v>
      </c>
      <c r="AO54" s="334">
        <v>0</v>
      </c>
      <c r="AP54" s="334">
        <v>0</v>
      </c>
    </row>
    <row r="55" spans="1:45" x14ac:dyDescent="0.2">
      <c r="A55" s="212" t="s">
        <v>318</v>
      </c>
      <c r="B55" s="334">
        <f>$B$54/$B$40</f>
        <v>0</v>
      </c>
      <c r="C55" s="334">
        <f t="shared" ref="C55:AP55" si="7">IF(ROUND(C53,1)=0,0,B55+C54/$B$40)</f>
        <v>0</v>
      </c>
      <c r="D55" s="334">
        <f t="shared" si="7"/>
        <v>0</v>
      </c>
      <c r="E55" s="334">
        <f t="shared" si="7"/>
        <v>0</v>
      </c>
      <c r="F55" s="334">
        <f t="shared" si="7"/>
        <v>0</v>
      </c>
      <c r="G55" s="334">
        <f t="shared" si="7"/>
        <v>0</v>
      </c>
      <c r="H55" s="334">
        <f t="shared" si="7"/>
        <v>0</v>
      </c>
      <c r="I55" s="334">
        <f t="shared" si="7"/>
        <v>0</v>
      </c>
      <c r="J55" s="334">
        <f t="shared" si="7"/>
        <v>0</v>
      </c>
      <c r="K55" s="334">
        <f t="shared" si="7"/>
        <v>0</v>
      </c>
      <c r="L55" s="334">
        <f t="shared" si="7"/>
        <v>0</v>
      </c>
      <c r="M55" s="334">
        <f t="shared" si="7"/>
        <v>0</v>
      </c>
      <c r="N55" s="334">
        <f t="shared" si="7"/>
        <v>0</v>
      </c>
      <c r="O55" s="334">
        <f t="shared" si="7"/>
        <v>0</v>
      </c>
      <c r="P55" s="334">
        <f t="shared" si="7"/>
        <v>0</v>
      </c>
      <c r="Q55" s="334">
        <f t="shared" si="7"/>
        <v>0</v>
      </c>
      <c r="R55" s="334">
        <f t="shared" si="7"/>
        <v>0</v>
      </c>
      <c r="S55" s="334">
        <f t="shared" si="7"/>
        <v>0</v>
      </c>
      <c r="T55" s="334">
        <f t="shared" si="7"/>
        <v>0</v>
      </c>
      <c r="U55" s="334">
        <f t="shared" si="7"/>
        <v>0</v>
      </c>
      <c r="V55" s="334">
        <f t="shared" si="7"/>
        <v>0</v>
      </c>
      <c r="W55" s="334">
        <f t="shared" si="7"/>
        <v>0</v>
      </c>
      <c r="X55" s="334">
        <f t="shared" si="7"/>
        <v>0</v>
      </c>
      <c r="Y55" s="334">
        <f t="shared" si="7"/>
        <v>0</v>
      </c>
      <c r="Z55" s="334">
        <f t="shared" si="7"/>
        <v>0</v>
      </c>
      <c r="AA55" s="334">
        <f t="shared" si="7"/>
        <v>0</v>
      </c>
      <c r="AB55" s="334">
        <f t="shared" si="7"/>
        <v>0</v>
      </c>
      <c r="AC55" s="334">
        <f t="shared" si="7"/>
        <v>0</v>
      </c>
      <c r="AD55" s="334">
        <f t="shared" si="7"/>
        <v>0</v>
      </c>
      <c r="AE55" s="334">
        <f t="shared" si="7"/>
        <v>0</v>
      </c>
      <c r="AF55" s="334">
        <f t="shared" si="7"/>
        <v>0</v>
      </c>
      <c r="AG55" s="334">
        <f t="shared" si="7"/>
        <v>0</v>
      </c>
      <c r="AH55" s="334">
        <f t="shared" si="7"/>
        <v>0</v>
      </c>
      <c r="AI55" s="334">
        <f t="shared" si="7"/>
        <v>0</v>
      </c>
      <c r="AJ55" s="334">
        <f t="shared" si="7"/>
        <v>0</v>
      </c>
      <c r="AK55" s="334">
        <f t="shared" si="7"/>
        <v>0</v>
      </c>
      <c r="AL55" s="334">
        <f t="shared" si="7"/>
        <v>0</v>
      </c>
      <c r="AM55" s="334">
        <f t="shared" si="7"/>
        <v>0</v>
      </c>
      <c r="AN55" s="334">
        <f t="shared" si="7"/>
        <v>0</v>
      </c>
      <c r="AO55" s="334">
        <f t="shared" si="7"/>
        <v>0</v>
      </c>
      <c r="AP55" s="334">
        <f t="shared" si="7"/>
        <v>0</v>
      </c>
    </row>
    <row r="56" spans="1:45" ht="16.5" thickBot="1" x14ac:dyDescent="0.25">
      <c r="A56" s="213" t="s">
        <v>317</v>
      </c>
      <c r="B56" s="214">
        <f t="shared" ref="B56:AP56" si="8">AVERAGE(SUM(B53:B54),(SUM(B53:B54)-B55))*$B$42</f>
        <v>0</v>
      </c>
      <c r="C56" s="214">
        <f t="shared" si="8"/>
        <v>0</v>
      </c>
      <c r="D56" s="214">
        <f t="shared" si="8"/>
        <v>0</v>
      </c>
      <c r="E56" s="214">
        <f t="shared" si="8"/>
        <v>0</v>
      </c>
      <c r="F56" s="214">
        <f t="shared" si="8"/>
        <v>0</v>
      </c>
      <c r="G56" s="214">
        <f t="shared" si="8"/>
        <v>0</v>
      </c>
      <c r="H56" s="214">
        <f t="shared" si="8"/>
        <v>0</v>
      </c>
      <c r="I56" s="214">
        <f t="shared" si="8"/>
        <v>0</v>
      </c>
      <c r="J56" s="214">
        <f t="shared" si="8"/>
        <v>0</v>
      </c>
      <c r="K56" s="214">
        <f t="shared" si="8"/>
        <v>0</v>
      </c>
      <c r="L56" s="214">
        <f t="shared" si="8"/>
        <v>0</v>
      </c>
      <c r="M56" s="214">
        <f t="shared" si="8"/>
        <v>0</v>
      </c>
      <c r="N56" s="214">
        <f t="shared" si="8"/>
        <v>0</v>
      </c>
      <c r="O56" s="214">
        <f t="shared" si="8"/>
        <v>0</v>
      </c>
      <c r="P56" s="214">
        <f t="shared" si="8"/>
        <v>0</v>
      </c>
      <c r="Q56" s="214">
        <f t="shared" si="8"/>
        <v>0</v>
      </c>
      <c r="R56" s="214">
        <f t="shared" si="8"/>
        <v>0</v>
      </c>
      <c r="S56" s="214">
        <f t="shared" si="8"/>
        <v>0</v>
      </c>
      <c r="T56" s="214">
        <f t="shared" si="8"/>
        <v>0</v>
      </c>
      <c r="U56" s="214">
        <f t="shared" si="8"/>
        <v>0</v>
      </c>
      <c r="V56" s="214">
        <f t="shared" si="8"/>
        <v>0</v>
      </c>
      <c r="W56" s="214">
        <f t="shared" si="8"/>
        <v>0</v>
      </c>
      <c r="X56" s="214">
        <f t="shared" si="8"/>
        <v>0</v>
      </c>
      <c r="Y56" s="214">
        <f t="shared" si="8"/>
        <v>0</v>
      </c>
      <c r="Z56" s="214">
        <f t="shared" si="8"/>
        <v>0</v>
      </c>
      <c r="AA56" s="214">
        <f t="shared" si="8"/>
        <v>0</v>
      </c>
      <c r="AB56" s="214">
        <f t="shared" si="8"/>
        <v>0</v>
      </c>
      <c r="AC56" s="214">
        <f t="shared" si="8"/>
        <v>0</v>
      </c>
      <c r="AD56" s="214">
        <f t="shared" si="8"/>
        <v>0</v>
      </c>
      <c r="AE56" s="214">
        <f t="shared" si="8"/>
        <v>0</v>
      </c>
      <c r="AF56" s="214">
        <f t="shared" si="8"/>
        <v>0</v>
      </c>
      <c r="AG56" s="214">
        <f t="shared" si="8"/>
        <v>0</v>
      </c>
      <c r="AH56" s="214">
        <f t="shared" si="8"/>
        <v>0</v>
      </c>
      <c r="AI56" s="214">
        <f t="shared" si="8"/>
        <v>0</v>
      </c>
      <c r="AJ56" s="214">
        <f t="shared" si="8"/>
        <v>0</v>
      </c>
      <c r="AK56" s="214">
        <f t="shared" si="8"/>
        <v>0</v>
      </c>
      <c r="AL56" s="214">
        <f t="shared" si="8"/>
        <v>0</v>
      </c>
      <c r="AM56" s="214">
        <f t="shared" si="8"/>
        <v>0</v>
      </c>
      <c r="AN56" s="214">
        <f t="shared" si="8"/>
        <v>0</v>
      </c>
      <c r="AO56" s="214">
        <f t="shared" si="8"/>
        <v>0</v>
      </c>
      <c r="AP56" s="214">
        <f t="shared" si="8"/>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72"/>
      <c r="AR57" s="172"/>
      <c r="AS57" s="172"/>
    </row>
    <row r="58" spans="1:45" x14ac:dyDescent="0.2">
      <c r="A58" s="210" t="s">
        <v>538</v>
      </c>
      <c r="B58" s="211">
        <v>1</v>
      </c>
      <c r="C58" s="211">
        <f>B58+1</f>
        <v>2</v>
      </c>
      <c r="D58" s="211">
        <f t="shared" ref="D58:AP58" si="9">C58+1</f>
        <v>3</v>
      </c>
      <c r="E58" s="211">
        <f t="shared" si="9"/>
        <v>4</v>
      </c>
      <c r="F58" s="211">
        <f t="shared" si="9"/>
        <v>5</v>
      </c>
      <c r="G58" s="211">
        <f t="shared" si="9"/>
        <v>6</v>
      </c>
      <c r="H58" s="211">
        <f t="shared" si="9"/>
        <v>7</v>
      </c>
      <c r="I58" s="211">
        <f t="shared" si="9"/>
        <v>8</v>
      </c>
      <c r="J58" s="211">
        <f t="shared" si="9"/>
        <v>9</v>
      </c>
      <c r="K58" s="211">
        <f t="shared" si="9"/>
        <v>10</v>
      </c>
      <c r="L58" s="211">
        <f t="shared" si="9"/>
        <v>11</v>
      </c>
      <c r="M58" s="211">
        <f t="shared" si="9"/>
        <v>12</v>
      </c>
      <c r="N58" s="211">
        <f t="shared" si="9"/>
        <v>13</v>
      </c>
      <c r="O58" s="211">
        <f t="shared" si="9"/>
        <v>14</v>
      </c>
      <c r="P58" s="211">
        <f t="shared" si="9"/>
        <v>15</v>
      </c>
      <c r="Q58" s="211">
        <f t="shared" si="9"/>
        <v>16</v>
      </c>
      <c r="R58" s="211">
        <f t="shared" si="9"/>
        <v>17</v>
      </c>
      <c r="S58" s="211">
        <f t="shared" si="9"/>
        <v>18</v>
      </c>
      <c r="T58" s="211">
        <f t="shared" si="9"/>
        <v>19</v>
      </c>
      <c r="U58" s="211">
        <f t="shared" si="9"/>
        <v>20</v>
      </c>
      <c r="V58" s="211">
        <f t="shared" si="9"/>
        <v>21</v>
      </c>
      <c r="W58" s="211">
        <f t="shared" si="9"/>
        <v>22</v>
      </c>
      <c r="X58" s="211">
        <f t="shared" si="9"/>
        <v>23</v>
      </c>
      <c r="Y58" s="211">
        <f t="shared" si="9"/>
        <v>24</v>
      </c>
      <c r="Z58" s="211">
        <f t="shared" si="9"/>
        <v>25</v>
      </c>
      <c r="AA58" s="211">
        <f t="shared" si="9"/>
        <v>26</v>
      </c>
      <c r="AB58" s="211">
        <f t="shared" si="9"/>
        <v>27</v>
      </c>
      <c r="AC58" s="211">
        <f t="shared" si="9"/>
        <v>28</v>
      </c>
      <c r="AD58" s="211">
        <f t="shared" si="9"/>
        <v>29</v>
      </c>
      <c r="AE58" s="211">
        <f t="shared" si="9"/>
        <v>30</v>
      </c>
      <c r="AF58" s="211">
        <f t="shared" si="9"/>
        <v>31</v>
      </c>
      <c r="AG58" s="211">
        <f t="shared" si="9"/>
        <v>32</v>
      </c>
      <c r="AH58" s="211">
        <f t="shared" si="9"/>
        <v>33</v>
      </c>
      <c r="AI58" s="211">
        <f t="shared" si="9"/>
        <v>34</v>
      </c>
      <c r="AJ58" s="211">
        <f t="shared" si="9"/>
        <v>35</v>
      </c>
      <c r="AK58" s="211">
        <f t="shared" si="9"/>
        <v>36</v>
      </c>
      <c r="AL58" s="211">
        <f t="shared" si="9"/>
        <v>37</v>
      </c>
      <c r="AM58" s="211">
        <f t="shared" si="9"/>
        <v>38</v>
      </c>
      <c r="AN58" s="211">
        <f t="shared" si="9"/>
        <v>39</v>
      </c>
      <c r="AO58" s="211">
        <f t="shared" si="9"/>
        <v>40</v>
      </c>
      <c r="AP58" s="211">
        <f t="shared" si="9"/>
        <v>41</v>
      </c>
    </row>
    <row r="59" spans="1:45" ht="14.25" x14ac:dyDescent="0.2">
      <c r="A59" s="218" t="s">
        <v>316</v>
      </c>
      <c r="B59" s="335">
        <f t="shared" ref="B59:AP59" si="10">B50*$B$28</f>
        <v>1515630.19</v>
      </c>
      <c r="C59" s="335">
        <f t="shared" si="10"/>
        <v>0</v>
      </c>
      <c r="D59" s="335">
        <f t="shared" si="10"/>
        <v>0</v>
      </c>
      <c r="E59" s="335">
        <f t="shared" si="10"/>
        <v>0</v>
      </c>
      <c r="F59" s="335">
        <f t="shared" si="10"/>
        <v>0</v>
      </c>
      <c r="G59" s="335">
        <f t="shared" si="10"/>
        <v>0</v>
      </c>
      <c r="H59" s="335">
        <f t="shared" si="10"/>
        <v>0</v>
      </c>
      <c r="I59" s="335">
        <f t="shared" si="10"/>
        <v>0</v>
      </c>
      <c r="J59" s="335">
        <f t="shared" si="10"/>
        <v>0</v>
      </c>
      <c r="K59" s="335">
        <f t="shared" si="10"/>
        <v>0</v>
      </c>
      <c r="L59" s="335">
        <f t="shared" si="10"/>
        <v>0</v>
      </c>
      <c r="M59" s="335">
        <f t="shared" si="10"/>
        <v>0</v>
      </c>
      <c r="N59" s="335">
        <f t="shared" si="10"/>
        <v>0</v>
      </c>
      <c r="O59" s="335">
        <f t="shared" si="10"/>
        <v>0</v>
      </c>
      <c r="P59" s="335">
        <f t="shared" si="10"/>
        <v>0</v>
      </c>
      <c r="Q59" s="335">
        <f t="shared" si="10"/>
        <v>0</v>
      </c>
      <c r="R59" s="335">
        <f t="shared" si="10"/>
        <v>0</v>
      </c>
      <c r="S59" s="335">
        <f t="shared" si="10"/>
        <v>0</v>
      </c>
      <c r="T59" s="335">
        <f t="shared" si="10"/>
        <v>0</v>
      </c>
      <c r="U59" s="335">
        <f t="shared" si="10"/>
        <v>0</v>
      </c>
      <c r="V59" s="335">
        <f t="shared" si="10"/>
        <v>0</v>
      </c>
      <c r="W59" s="335">
        <f t="shared" si="10"/>
        <v>0</v>
      </c>
      <c r="X59" s="335">
        <f t="shared" si="10"/>
        <v>0</v>
      </c>
      <c r="Y59" s="335">
        <f t="shared" si="10"/>
        <v>0</v>
      </c>
      <c r="Z59" s="335">
        <f t="shared" si="10"/>
        <v>0</v>
      </c>
      <c r="AA59" s="335">
        <f t="shared" si="10"/>
        <v>0</v>
      </c>
      <c r="AB59" s="335">
        <f t="shared" si="10"/>
        <v>0</v>
      </c>
      <c r="AC59" s="335">
        <f t="shared" si="10"/>
        <v>0</v>
      </c>
      <c r="AD59" s="335">
        <f t="shared" si="10"/>
        <v>0</v>
      </c>
      <c r="AE59" s="335">
        <f t="shared" si="10"/>
        <v>0</v>
      </c>
      <c r="AF59" s="335">
        <f t="shared" si="10"/>
        <v>0</v>
      </c>
      <c r="AG59" s="335">
        <f t="shared" si="10"/>
        <v>0</v>
      </c>
      <c r="AH59" s="335">
        <f t="shared" si="10"/>
        <v>0</v>
      </c>
      <c r="AI59" s="335">
        <f t="shared" si="10"/>
        <v>0</v>
      </c>
      <c r="AJ59" s="335">
        <f t="shared" si="10"/>
        <v>0</v>
      </c>
      <c r="AK59" s="335">
        <f t="shared" si="10"/>
        <v>0</v>
      </c>
      <c r="AL59" s="335">
        <f t="shared" si="10"/>
        <v>0</v>
      </c>
      <c r="AM59" s="335">
        <f t="shared" si="10"/>
        <v>0</v>
      </c>
      <c r="AN59" s="335">
        <f t="shared" si="10"/>
        <v>0</v>
      </c>
      <c r="AO59" s="335">
        <f t="shared" si="10"/>
        <v>0</v>
      </c>
      <c r="AP59" s="335">
        <f t="shared" si="10"/>
        <v>0</v>
      </c>
    </row>
    <row r="60" spans="1:45" x14ac:dyDescent="0.2">
      <c r="A60" s="212" t="s">
        <v>315</v>
      </c>
      <c r="B60" s="334">
        <f t="shared" ref="B60:Z60" si="11">SUM(B61:B65)</f>
        <v>0</v>
      </c>
      <c r="C60" s="334">
        <f t="shared" si="11"/>
        <v>-17970.529878805151</v>
      </c>
      <c r="D60" s="334">
        <f>SUM(D61:D65)</f>
        <v>-18725.292133714967</v>
      </c>
      <c r="E60" s="334">
        <f t="shared" si="11"/>
        <v>-19511.754403330997</v>
      </c>
      <c r="F60" s="334">
        <f t="shared" si="11"/>
        <v>-20331.248088270899</v>
      </c>
      <c r="G60" s="334">
        <f t="shared" si="11"/>
        <v>-21185.160507978275</v>
      </c>
      <c r="H60" s="334">
        <f t="shared" si="11"/>
        <v>-22074.937249313367</v>
      </c>
      <c r="I60" s="334">
        <f t="shared" si="11"/>
        <v>-23002.084613784529</v>
      </c>
      <c r="J60" s="334">
        <f t="shared" si="11"/>
        <v>-23968.17216756348</v>
      </c>
      <c r="K60" s="334">
        <f t="shared" si="11"/>
        <v>-24974.835398601146</v>
      </c>
      <c r="L60" s="334">
        <f t="shared" si="11"/>
        <v>-26023.778485342398</v>
      </c>
      <c r="M60" s="334">
        <f t="shared" si="11"/>
        <v>-27116.777181726782</v>
      </c>
      <c r="N60" s="334">
        <f t="shared" si="11"/>
        <v>-28255.681823359308</v>
      </c>
      <c r="O60" s="334">
        <f t="shared" si="11"/>
        <v>-29442.420459940397</v>
      </c>
      <c r="P60" s="334">
        <f t="shared" si="11"/>
        <v>-30679.002119257893</v>
      </c>
      <c r="Q60" s="334">
        <f t="shared" si="11"/>
        <v>-31967.520208266727</v>
      </c>
      <c r="R60" s="334">
        <f t="shared" si="11"/>
        <v>-33310.156057013926</v>
      </c>
      <c r="S60" s="334">
        <f t="shared" si="11"/>
        <v>-34709.18261140852</v>
      </c>
      <c r="T60" s="334">
        <f t="shared" si="11"/>
        <v>-36166.968281087669</v>
      </c>
      <c r="U60" s="334">
        <f t="shared" si="11"/>
        <v>-37685.980948893361</v>
      </c>
      <c r="V60" s="334">
        <f t="shared" si="11"/>
        <v>-39268.792148746885</v>
      </c>
      <c r="W60" s="334">
        <f t="shared" si="11"/>
        <v>-40918.081418994254</v>
      </c>
      <c r="X60" s="334">
        <f t="shared" si="11"/>
        <v>-42636.640838592015</v>
      </c>
      <c r="Y60" s="334">
        <f t="shared" si="11"/>
        <v>-44427.379753812878</v>
      </c>
      <c r="Z60" s="334">
        <f t="shared" si="11"/>
        <v>-46293.32970347302</v>
      </c>
      <c r="AA60" s="334">
        <f t="shared" ref="AA60:AP60" si="12">SUM(AA61:AA65)</f>
        <v>-48237.649551018891</v>
      </c>
      <c r="AB60" s="334">
        <f t="shared" si="12"/>
        <v>-50263.630832161689</v>
      </c>
      <c r="AC60" s="334">
        <f t="shared" si="12"/>
        <v>-52374.703327112482</v>
      </c>
      <c r="AD60" s="334">
        <f t="shared" si="12"/>
        <v>-54574.440866851211</v>
      </c>
      <c r="AE60" s="334">
        <f t="shared" si="12"/>
        <v>-56866.567383258967</v>
      </c>
      <c r="AF60" s="334">
        <f t="shared" si="12"/>
        <v>-59254.963213355848</v>
      </c>
      <c r="AG60" s="334">
        <f t="shared" si="12"/>
        <v>-61743.671668316791</v>
      </c>
      <c r="AH60" s="334">
        <f t="shared" si="12"/>
        <v>-64336.905878386096</v>
      </c>
      <c r="AI60" s="334">
        <f t="shared" si="12"/>
        <v>-67039.055925278313</v>
      </c>
      <c r="AJ60" s="334">
        <f t="shared" si="12"/>
        <v>-69854.696274139991</v>
      </c>
      <c r="AK60" s="334">
        <f t="shared" si="12"/>
        <v>-72788.593517653877</v>
      </c>
      <c r="AL60" s="334">
        <f t="shared" si="12"/>
        <v>-75845.714445395352</v>
      </c>
      <c r="AM60" s="334">
        <f t="shared" si="12"/>
        <v>-79031.234452101955</v>
      </c>
      <c r="AN60" s="334">
        <f t="shared" si="12"/>
        <v>-82350.546299090245</v>
      </c>
      <c r="AO60" s="334">
        <f t="shared" si="12"/>
        <v>-85809.269243652045</v>
      </c>
      <c r="AP60" s="334">
        <f t="shared" si="12"/>
        <v>-89413.258551885432</v>
      </c>
    </row>
    <row r="61" spans="1:45" x14ac:dyDescent="0.2">
      <c r="A61" s="219" t="s">
        <v>314</v>
      </c>
      <c r="B61" s="334"/>
      <c r="C61" s="334">
        <f>-IF(C$47&lt;=$B$30,0,$B$29*(1+C$49)*$B$28)</f>
        <v>-17970.529878805151</v>
      </c>
      <c r="D61" s="334">
        <f>-IF(D$47&lt;=$B$30,0,$B$29*(1+D$49)*$B$28)</f>
        <v>-18725.292133714967</v>
      </c>
      <c r="E61" s="334">
        <f t="shared" ref="E61:AP61" si="13">-IF(E$47&lt;=$B$30,0,$B$29*(1+E$49)*$B$28)</f>
        <v>-19511.754403330997</v>
      </c>
      <c r="F61" s="334">
        <f t="shared" si="13"/>
        <v>-20331.248088270899</v>
      </c>
      <c r="G61" s="334">
        <f t="shared" si="13"/>
        <v>-21185.160507978275</v>
      </c>
      <c r="H61" s="334">
        <f t="shared" si="13"/>
        <v>-22074.937249313367</v>
      </c>
      <c r="I61" s="334">
        <f t="shared" si="13"/>
        <v>-23002.084613784529</v>
      </c>
      <c r="J61" s="334">
        <f t="shared" si="13"/>
        <v>-23968.17216756348</v>
      </c>
      <c r="K61" s="334">
        <f t="shared" si="13"/>
        <v>-24974.835398601146</v>
      </c>
      <c r="L61" s="334">
        <f t="shared" si="13"/>
        <v>-26023.778485342398</v>
      </c>
      <c r="M61" s="334">
        <f t="shared" si="13"/>
        <v>-27116.777181726782</v>
      </c>
      <c r="N61" s="334">
        <f t="shared" si="13"/>
        <v>-28255.681823359308</v>
      </c>
      <c r="O61" s="334">
        <f t="shared" si="13"/>
        <v>-29442.420459940397</v>
      </c>
      <c r="P61" s="334">
        <f t="shared" si="13"/>
        <v>-30679.002119257893</v>
      </c>
      <c r="Q61" s="334">
        <f t="shared" si="13"/>
        <v>-31967.520208266727</v>
      </c>
      <c r="R61" s="334">
        <f t="shared" si="13"/>
        <v>-33310.156057013926</v>
      </c>
      <c r="S61" s="334">
        <f t="shared" si="13"/>
        <v>-34709.18261140852</v>
      </c>
      <c r="T61" s="334">
        <f t="shared" si="13"/>
        <v>-36166.968281087669</v>
      </c>
      <c r="U61" s="334">
        <f t="shared" si="13"/>
        <v>-37685.980948893361</v>
      </c>
      <c r="V61" s="334">
        <f t="shared" si="13"/>
        <v>-39268.792148746885</v>
      </c>
      <c r="W61" s="334">
        <f t="shared" si="13"/>
        <v>-40918.081418994254</v>
      </c>
      <c r="X61" s="334">
        <f t="shared" si="13"/>
        <v>-42636.640838592015</v>
      </c>
      <c r="Y61" s="334">
        <f t="shared" si="13"/>
        <v>-44427.379753812878</v>
      </c>
      <c r="Z61" s="334">
        <f t="shared" si="13"/>
        <v>-46293.32970347302</v>
      </c>
      <c r="AA61" s="334">
        <f t="shared" si="13"/>
        <v>-48237.649551018891</v>
      </c>
      <c r="AB61" s="334">
        <f t="shared" si="13"/>
        <v>-50263.630832161689</v>
      </c>
      <c r="AC61" s="334">
        <f t="shared" si="13"/>
        <v>-52374.703327112482</v>
      </c>
      <c r="AD61" s="334">
        <f t="shared" si="13"/>
        <v>-54574.440866851211</v>
      </c>
      <c r="AE61" s="334">
        <f t="shared" si="13"/>
        <v>-56866.567383258967</v>
      </c>
      <c r="AF61" s="334">
        <f t="shared" si="13"/>
        <v>-59254.963213355848</v>
      </c>
      <c r="AG61" s="334">
        <f t="shared" si="13"/>
        <v>-61743.671668316791</v>
      </c>
      <c r="AH61" s="334">
        <f t="shared" si="13"/>
        <v>-64336.905878386096</v>
      </c>
      <c r="AI61" s="334">
        <f t="shared" si="13"/>
        <v>-67039.055925278313</v>
      </c>
      <c r="AJ61" s="334">
        <f t="shared" si="13"/>
        <v>-69854.696274139991</v>
      </c>
      <c r="AK61" s="334">
        <f t="shared" si="13"/>
        <v>-72788.593517653877</v>
      </c>
      <c r="AL61" s="334">
        <f t="shared" si="13"/>
        <v>-75845.714445395352</v>
      </c>
      <c r="AM61" s="334">
        <f t="shared" si="13"/>
        <v>-79031.234452101955</v>
      </c>
      <c r="AN61" s="334">
        <f t="shared" si="13"/>
        <v>-82350.546299090245</v>
      </c>
      <c r="AO61" s="334">
        <f t="shared" si="13"/>
        <v>-85809.269243652045</v>
      </c>
      <c r="AP61" s="334">
        <f t="shared" si="13"/>
        <v>-89413.258551885432</v>
      </c>
    </row>
    <row r="62" spans="1:45" x14ac:dyDescent="0.2">
      <c r="A62" s="219" t="str">
        <f>A32</f>
        <v>Прочие расходы при эксплуатации объекта, руб. без НДС</v>
      </c>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c r="AA62" s="334"/>
      <c r="AB62" s="334"/>
      <c r="AC62" s="334"/>
      <c r="AD62" s="334"/>
      <c r="AE62" s="334"/>
      <c r="AF62" s="334"/>
      <c r="AG62" s="334"/>
      <c r="AH62" s="334"/>
      <c r="AI62" s="334"/>
      <c r="AJ62" s="334"/>
      <c r="AK62" s="334"/>
      <c r="AL62" s="334"/>
      <c r="AM62" s="334"/>
      <c r="AN62" s="334"/>
      <c r="AO62" s="334"/>
      <c r="AP62" s="334"/>
    </row>
    <row r="63" spans="1:45" x14ac:dyDescent="0.2">
      <c r="A63" s="219" t="s">
        <v>535</v>
      </c>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c r="AA63" s="334"/>
      <c r="AB63" s="334"/>
      <c r="AC63" s="334"/>
      <c r="AD63" s="334"/>
      <c r="AE63" s="334"/>
      <c r="AF63" s="334"/>
      <c r="AG63" s="334"/>
      <c r="AH63" s="334"/>
      <c r="AI63" s="334"/>
      <c r="AJ63" s="334"/>
      <c r="AK63" s="334"/>
      <c r="AL63" s="334"/>
      <c r="AM63" s="334"/>
      <c r="AN63" s="334"/>
      <c r="AO63" s="334"/>
      <c r="AP63" s="334"/>
    </row>
    <row r="64" spans="1:45" x14ac:dyDescent="0.2">
      <c r="A64" s="219" t="s">
        <v>535</v>
      </c>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c r="AA64" s="334"/>
      <c r="AB64" s="334"/>
      <c r="AC64" s="334"/>
      <c r="AD64" s="334"/>
      <c r="AE64" s="334"/>
      <c r="AF64" s="334"/>
      <c r="AG64" s="334"/>
      <c r="AH64" s="334"/>
      <c r="AI64" s="334"/>
      <c r="AJ64" s="334"/>
      <c r="AK64" s="334"/>
      <c r="AL64" s="334"/>
      <c r="AM64" s="334"/>
      <c r="AN64" s="334"/>
      <c r="AO64" s="334"/>
      <c r="AP64" s="334"/>
    </row>
    <row r="65" spans="1:45" ht="31.5" x14ac:dyDescent="0.2">
      <c r="A65" s="219" t="s">
        <v>539</v>
      </c>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c r="AA65" s="334"/>
      <c r="AB65" s="334"/>
      <c r="AC65" s="334"/>
      <c r="AD65" s="334"/>
      <c r="AE65" s="334"/>
      <c r="AF65" s="334"/>
      <c r="AG65" s="334"/>
      <c r="AH65" s="334"/>
      <c r="AI65" s="334"/>
      <c r="AJ65" s="334"/>
      <c r="AK65" s="334"/>
      <c r="AL65" s="334"/>
      <c r="AM65" s="334"/>
      <c r="AN65" s="334"/>
      <c r="AO65" s="334"/>
      <c r="AP65" s="334"/>
    </row>
    <row r="66" spans="1:45" ht="28.5" x14ac:dyDescent="0.2">
      <c r="A66" s="220" t="s">
        <v>312</v>
      </c>
      <c r="B66" s="335">
        <f t="shared" ref="B66:AO66" si="14">B59+B60</f>
        <v>1515630.19</v>
      </c>
      <c r="C66" s="335">
        <f t="shared" si="14"/>
        <v>-17970.529878805151</v>
      </c>
      <c r="D66" s="335">
        <f t="shared" si="14"/>
        <v>-18725.292133714967</v>
      </c>
      <c r="E66" s="335">
        <f t="shared" si="14"/>
        <v>-19511.754403330997</v>
      </c>
      <c r="F66" s="335">
        <f t="shared" si="14"/>
        <v>-20331.248088270899</v>
      </c>
      <c r="G66" s="335">
        <f t="shared" si="14"/>
        <v>-21185.160507978275</v>
      </c>
      <c r="H66" s="335">
        <f t="shared" si="14"/>
        <v>-22074.937249313367</v>
      </c>
      <c r="I66" s="335">
        <f t="shared" si="14"/>
        <v>-23002.084613784529</v>
      </c>
      <c r="J66" s="335">
        <f t="shared" si="14"/>
        <v>-23968.17216756348</v>
      </c>
      <c r="K66" s="335">
        <f t="shared" si="14"/>
        <v>-24974.835398601146</v>
      </c>
      <c r="L66" s="335">
        <f t="shared" si="14"/>
        <v>-26023.778485342398</v>
      </c>
      <c r="M66" s="335">
        <f t="shared" si="14"/>
        <v>-27116.777181726782</v>
      </c>
      <c r="N66" s="335">
        <f t="shared" si="14"/>
        <v>-28255.681823359308</v>
      </c>
      <c r="O66" s="335">
        <f t="shared" si="14"/>
        <v>-29442.420459940397</v>
      </c>
      <c r="P66" s="335">
        <f t="shared" si="14"/>
        <v>-30679.002119257893</v>
      </c>
      <c r="Q66" s="335">
        <f t="shared" si="14"/>
        <v>-31967.520208266727</v>
      </c>
      <c r="R66" s="335">
        <f t="shared" si="14"/>
        <v>-33310.156057013926</v>
      </c>
      <c r="S66" s="335">
        <f t="shared" si="14"/>
        <v>-34709.18261140852</v>
      </c>
      <c r="T66" s="335">
        <f t="shared" si="14"/>
        <v>-36166.968281087669</v>
      </c>
      <c r="U66" s="335">
        <f t="shared" si="14"/>
        <v>-37685.980948893361</v>
      </c>
      <c r="V66" s="335">
        <f t="shared" si="14"/>
        <v>-39268.792148746885</v>
      </c>
      <c r="W66" s="335">
        <f t="shared" si="14"/>
        <v>-40918.081418994254</v>
      </c>
      <c r="X66" s="335">
        <f t="shared" si="14"/>
        <v>-42636.640838592015</v>
      </c>
      <c r="Y66" s="335">
        <f t="shared" si="14"/>
        <v>-44427.379753812878</v>
      </c>
      <c r="Z66" s="335">
        <f t="shared" si="14"/>
        <v>-46293.32970347302</v>
      </c>
      <c r="AA66" s="335">
        <f t="shared" si="14"/>
        <v>-48237.649551018891</v>
      </c>
      <c r="AB66" s="335">
        <f t="shared" si="14"/>
        <v>-50263.630832161689</v>
      </c>
      <c r="AC66" s="335">
        <f t="shared" si="14"/>
        <v>-52374.703327112482</v>
      </c>
      <c r="AD66" s="335">
        <f t="shared" si="14"/>
        <v>-54574.440866851211</v>
      </c>
      <c r="AE66" s="335">
        <f t="shared" si="14"/>
        <v>-56866.567383258967</v>
      </c>
      <c r="AF66" s="335">
        <f t="shared" si="14"/>
        <v>-59254.963213355848</v>
      </c>
      <c r="AG66" s="335">
        <f t="shared" si="14"/>
        <v>-61743.671668316791</v>
      </c>
      <c r="AH66" s="335">
        <f t="shared" si="14"/>
        <v>-64336.905878386096</v>
      </c>
      <c r="AI66" s="335">
        <f t="shared" si="14"/>
        <v>-67039.055925278313</v>
      </c>
      <c r="AJ66" s="335">
        <f t="shared" si="14"/>
        <v>-69854.696274139991</v>
      </c>
      <c r="AK66" s="335">
        <f t="shared" si="14"/>
        <v>-72788.593517653877</v>
      </c>
      <c r="AL66" s="335">
        <f t="shared" si="14"/>
        <v>-75845.714445395352</v>
      </c>
      <c r="AM66" s="335">
        <f t="shared" si="14"/>
        <v>-79031.234452101955</v>
      </c>
      <c r="AN66" s="335">
        <f t="shared" si="14"/>
        <v>-82350.546299090245</v>
      </c>
      <c r="AO66" s="335">
        <f t="shared" si="14"/>
        <v>-85809.269243652045</v>
      </c>
      <c r="AP66" s="335">
        <f>AP59+AP60</f>
        <v>-89413.258551885432</v>
      </c>
    </row>
    <row r="67" spans="1:45" x14ac:dyDescent="0.2">
      <c r="A67" s="219" t="s">
        <v>307</v>
      </c>
      <c r="B67" s="221"/>
      <c r="C67" s="334">
        <f>-($B$25)*1.18*$B$28/$B$27</f>
        <v>-49678.991199999997</v>
      </c>
      <c r="D67" s="334">
        <f>C67</f>
        <v>-49678.991199999997</v>
      </c>
      <c r="E67" s="334">
        <f t="shared" ref="E67:AP67" si="15">D67</f>
        <v>-49678.991199999997</v>
      </c>
      <c r="F67" s="334">
        <f t="shared" si="15"/>
        <v>-49678.991199999997</v>
      </c>
      <c r="G67" s="334">
        <f t="shared" si="15"/>
        <v>-49678.991199999997</v>
      </c>
      <c r="H67" s="334">
        <f t="shared" si="15"/>
        <v>-49678.991199999997</v>
      </c>
      <c r="I67" s="334">
        <f t="shared" si="15"/>
        <v>-49678.991199999997</v>
      </c>
      <c r="J67" s="334">
        <f t="shared" si="15"/>
        <v>-49678.991199999997</v>
      </c>
      <c r="K67" s="334">
        <f t="shared" si="15"/>
        <v>-49678.991199999997</v>
      </c>
      <c r="L67" s="334">
        <f t="shared" si="15"/>
        <v>-49678.991199999997</v>
      </c>
      <c r="M67" s="334">
        <f t="shared" si="15"/>
        <v>-49678.991199999997</v>
      </c>
      <c r="N67" s="334">
        <f t="shared" si="15"/>
        <v>-49678.991199999997</v>
      </c>
      <c r="O67" s="334">
        <f t="shared" si="15"/>
        <v>-49678.991199999997</v>
      </c>
      <c r="P67" s="334">
        <f t="shared" si="15"/>
        <v>-49678.991199999997</v>
      </c>
      <c r="Q67" s="334">
        <f t="shared" si="15"/>
        <v>-49678.991199999997</v>
      </c>
      <c r="R67" s="334">
        <f t="shared" si="15"/>
        <v>-49678.991199999997</v>
      </c>
      <c r="S67" s="334">
        <f t="shared" si="15"/>
        <v>-49678.991199999997</v>
      </c>
      <c r="T67" s="334">
        <f t="shared" si="15"/>
        <v>-49678.991199999997</v>
      </c>
      <c r="U67" s="334">
        <f t="shared" si="15"/>
        <v>-49678.991199999997</v>
      </c>
      <c r="V67" s="334">
        <f t="shared" si="15"/>
        <v>-49678.991199999997</v>
      </c>
      <c r="W67" s="334">
        <f t="shared" si="15"/>
        <v>-49678.991199999997</v>
      </c>
      <c r="X67" s="334">
        <f t="shared" si="15"/>
        <v>-49678.991199999997</v>
      </c>
      <c r="Y67" s="334">
        <f t="shared" si="15"/>
        <v>-49678.991199999997</v>
      </c>
      <c r="Z67" s="334">
        <f t="shared" si="15"/>
        <v>-49678.991199999997</v>
      </c>
      <c r="AA67" s="334">
        <f t="shared" si="15"/>
        <v>-49678.991199999997</v>
      </c>
      <c r="AB67" s="334">
        <f t="shared" si="15"/>
        <v>-49678.991199999997</v>
      </c>
      <c r="AC67" s="334">
        <f t="shared" si="15"/>
        <v>-49678.991199999997</v>
      </c>
      <c r="AD67" s="334">
        <f t="shared" si="15"/>
        <v>-49678.991199999997</v>
      </c>
      <c r="AE67" s="334">
        <f t="shared" si="15"/>
        <v>-49678.991199999997</v>
      </c>
      <c r="AF67" s="334">
        <f t="shared" si="15"/>
        <v>-49678.991199999997</v>
      </c>
      <c r="AG67" s="334">
        <f t="shared" si="15"/>
        <v>-49678.991199999997</v>
      </c>
      <c r="AH67" s="334">
        <f t="shared" si="15"/>
        <v>-49678.991199999997</v>
      </c>
      <c r="AI67" s="334">
        <f t="shared" si="15"/>
        <v>-49678.991199999997</v>
      </c>
      <c r="AJ67" s="334">
        <f t="shared" si="15"/>
        <v>-49678.991199999997</v>
      </c>
      <c r="AK67" s="334">
        <f t="shared" si="15"/>
        <v>-49678.991199999997</v>
      </c>
      <c r="AL67" s="334">
        <f t="shared" si="15"/>
        <v>-49678.991199999997</v>
      </c>
      <c r="AM67" s="334">
        <f t="shared" si="15"/>
        <v>-49678.991199999997</v>
      </c>
      <c r="AN67" s="334">
        <f t="shared" si="15"/>
        <v>-49678.991199999997</v>
      </c>
      <c r="AO67" s="334">
        <f t="shared" si="15"/>
        <v>-49678.991199999997</v>
      </c>
      <c r="AP67" s="334">
        <f t="shared" si="15"/>
        <v>-49678.991199999997</v>
      </c>
      <c r="AQ67" s="222">
        <f>SUM(B67:AA67)/1.18</f>
        <v>-1052521.0000000005</v>
      </c>
      <c r="AR67" s="223">
        <f>SUM(B67:AF67)/1.18</f>
        <v>-1263025.2000000007</v>
      </c>
      <c r="AS67" s="223">
        <f>SUM(B67:AP67)/1.18</f>
        <v>-1684033.600000001</v>
      </c>
    </row>
    <row r="68" spans="1:45" ht="28.5" x14ac:dyDescent="0.2">
      <c r="A68" s="220" t="s">
        <v>308</v>
      </c>
      <c r="B68" s="335">
        <f t="shared" ref="B68:J68" si="16">B66+B67</f>
        <v>1515630.19</v>
      </c>
      <c r="C68" s="335">
        <f>C66+C67</f>
        <v>-67649.521078805148</v>
      </c>
      <c r="D68" s="335">
        <f>D66+D67</f>
        <v>-68404.283333714964</v>
      </c>
      <c r="E68" s="335">
        <f t="shared" si="16"/>
        <v>-69190.745603330986</v>
      </c>
      <c r="F68" s="335">
        <f>F66+C67</f>
        <v>-70010.239288270895</v>
      </c>
      <c r="G68" s="335">
        <f t="shared" si="16"/>
        <v>-70864.151707978279</v>
      </c>
      <c r="H68" s="335">
        <f t="shared" si="16"/>
        <v>-71753.92844931336</v>
      </c>
      <c r="I68" s="335">
        <f t="shared" si="16"/>
        <v>-72681.075813784526</v>
      </c>
      <c r="J68" s="335">
        <f t="shared" si="16"/>
        <v>-73647.16336756348</v>
      </c>
      <c r="K68" s="335">
        <f>K66+K67</f>
        <v>-74653.826598601139</v>
      </c>
      <c r="L68" s="335">
        <f>L66+L67</f>
        <v>-75702.769685342399</v>
      </c>
      <c r="M68" s="335">
        <f t="shared" ref="M68:AO68" si="17">M66+M67</f>
        <v>-76795.768381726783</v>
      </c>
      <c r="N68" s="335">
        <f t="shared" si="17"/>
        <v>-77934.673023359297</v>
      </c>
      <c r="O68" s="335">
        <f t="shared" si="17"/>
        <v>-79121.411659940393</v>
      </c>
      <c r="P68" s="335">
        <f t="shared" si="17"/>
        <v>-80357.99331925789</v>
      </c>
      <c r="Q68" s="335">
        <f t="shared" si="17"/>
        <v>-81646.511408266728</v>
      </c>
      <c r="R68" s="335">
        <f t="shared" si="17"/>
        <v>-82989.147257013916</v>
      </c>
      <c r="S68" s="335">
        <f t="shared" si="17"/>
        <v>-84388.173811408516</v>
      </c>
      <c r="T68" s="335">
        <f t="shared" si="17"/>
        <v>-85845.959481087659</v>
      </c>
      <c r="U68" s="335">
        <f t="shared" si="17"/>
        <v>-87364.972148893357</v>
      </c>
      <c r="V68" s="335">
        <f t="shared" si="17"/>
        <v>-88947.783348746889</v>
      </c>
      <c r="W68" s="335">
        <f t="shared" si="17"/>
        <v>-90597.072618994251</v>
      </c>
      <c r="X68" s="335">
        <f t="shared" si="17"/>
        <v>-92315.632038592012</v>
      </c>
      <c r="Y68" s="335">
        <f t="shared" si="17"/>
        <v>-94106.370953812875</v>
      </c>
      <c r="Z68" s="335">
        <f t="shared" si="17"/>
        <v>-95972.32090347301</v>
      </c>
      <c r="AA68" s="335">
        <f t="shared" si="17"/>
        <v>-97916.640751018887</v>
      </c>
      <c r="AB68" s="335">
        <f t="shared" si="17"/>
        <v>-99942.622032161686</v>
      </c>
      <c r="AC68" s="335">
        <f t="shared" si="17"/>
        <v>-102053.69452711247</v>
      </c>
      <c r="AD68" s="335">
        <f t="shared" si="17"/>
        <v>-104253.43206685121</v>
      </c>
      <c r="AE68" s="335">
        <f t="shared" si="17"/>
        <v>-106545.55858325897</v>
      </c>
      <c r="AF68" s="335">
        <f t="shared" si="17"/>
        <v>-108933.95441335585</v>
      </c>
      <c r="AG68" s="335">
        <f t="shared" si="17"/>
        <v>-111422.66286831678</v>
      </c>
      <c r="AH68" s="335">
        <f t="shared" si="17"/>
        <v>-114015.8970783861</v>
      </c>
      <c r="AI68" s="335">
        <f t="shared" si="17"/>
        <v>-116718.0471252783</v>
      </c>
      <c r="AJ68" s="335">
        <f t="shared" si="17"/>
        <v>-119533.68747414</v>
      </c>
      <c r="AK68" s="335">
        <f t="shared" si="17"/>
        <v>-122467.58471765387</v>
      </c>
      <c r="AL68" s="335">
        <f t="shared" si="17"/>
        <v>-125524.70564539536</v>
      </c>
      <c r="AM68" s="335">
        <f t="shared" si="17"/>
        <v>-128710.22565210194</v>
      </c>
      <c r="AN68" s="335">
        <f t="shared" si="17"/>
        <v>-132029.53749909025</v>
      </c>
      <c r="AO68" s="335">
        <f t="shared" si="17"/>
        <v>-135488.26044365205</v>
      </c>
      <c r="AP68" s="335">
        <f>AP66+AP67</f>
        <v>-139092.24975188542</v>
      </c>
      <c r="AQ68" s="172">
        <v>25</v>
      </c>
      <c r="AR68" s="172">
        <v>30</v>
      </c>
      <c r="AS68" s="172">
        <v>40</v>
      </c>
    </row>
    <row r="69" spans="1:45" x14ac:dyDescent="0.2">
      <c r="A69" s="219" t="s">
        <v>306</v>
      </c>
      <c r="B69" s="334">
        <f t="shared" ref="B69:AO69" si="18">-B56</f>
        <v>0</v>
      </c>
      <c r="C69" s="334">
        <f t="shared" si="18"/>
        <v>0</v>
      </c>
      <c r="D69" s="334">
        <f t="shared" si="18"/>
        <v>0</v>
      </c>
      <c r="E69" s="334">
        <f t="shared" si="18"/>
        <v>0</v>
      </c>
      <c r="F69" s="334">
        <f t="shared" si="18"/>
        <v>0</v>
      </c>
      <c r="G69" s="334">
        <f t="shared" si="18"/>
        <v>0</v>
      </c>
      <c r="H69" s="334">
        <f t="shared" si="18"/>
        <v>0</v>
      </c>
      <c r="I69" s="334">
        <f t="shared" si="18"/>
        <v>0</v>
      </c>
      <c r="J69" s="334">
        <f t="shared" si="18"/>
        <v>0</v>
      </c>
      <c r="K69" s="334">
        <f t="shared" si="18"/>
        <v>0</v>
      </c>
      <c r="L69" s="334">
        <f t="shared" si="18"/>
        <v>0</v>
      </c>
      <c r="M69" s="334">
        <f t="shared" si="18"/>
        <v>0</v>
      </c>
      <c r="N69" s="334">
        <f t="shared" si="18"/>
        <v>0</v>
      </c>
      <c r="O69" s="334">
        <f t="shared" si="18"/>
        <v>0</v>
      </c>
      <c r="P69" s="334">
        <f t="shared" si="18"/>
        <v>0</v>
      </c>
      <c r="Q69" s="334">
        <f t="shared" si="18"/>
        <v>0</v>
      </c>
      <c r="R69" s="334">
        <f t="shared" si="18"/>
        <v>0</v>
      </c>
      <c r="S69" s="334">
        <f t="shared" si="18"/>
        <v>0</v>
      </c>
      <c r="T69" s="334">
        <f t="shared" si="18"/>
        <v>0</v>
      </c>
      <c r="U69" s="334">
        <f t="shared" si="18"/>
        <v>0</v>
      </c>
      <c r="V69" s="334">
        <f t="shared" si="18"/>
        <v>0</v>
      </c>
      <c r="W69" s="334">
        <f t="shared" si="18"/>
        <v>0</v>
      </c>
      <c r="X69" s="334">
        <f t="shared" si="18"/>
        <v>0</v>
      </c>
      <c r="Y69" s="334">
        <f t="shared" si="18"/>
        <v>0</v>
      </c>
      <c r="Z69" s="334">
        <f t="shared" si="18"/>
        <v>0</v>
      </c>
      <c r="AA69" s="334">
        <f t="shared" si="18"/>
        <v>0</v>
      </c>
      <c r="AB69" s="334">
        <f t="shared" si="18"/>
        <v>0</v>
      </c>
      <c r="AC69" s="334">
        <f t="shared" si="18"/>
        <v>0</v>
      </c>
      <c r="AD69" s="334">
        <f t="shared" si="18"/>
        <v>0</v>
      </c>
      <c r="AE69" s="334">
        <f t="shared" si="18"/>
        <v>0</v>
      </c>
      <c r="AF69" s="334">
        <f t="shared" si="18"/>
        <v>0</v>
      </c>
      <c r="AG69" s="334">
        <f t="shared" si="18"/>
        <v>0</v>
      </c>
      <c r="AH69" s="334">
        <f t="shared" si="18"/>
        <v>0</v>
      </c>
      <c r="AI69" s="334">
        <f t="shared" si="18"/>
        <v>0</v>
      </c>
      <c r="AJ69" s="334">
        <f t="shared" si="18"/>
        <v>0</v>
      </c>
      <c r="AK69" s="334">
        <f t="shared" si="18"/>
        <v>0</v>
      </c>
      <c r="AL69" s="334">
        <f t="shared" si="18"/>
        <v>0</v>
      </c>
      <c r="AM69" s="334">
        <f t="shared" si="18"/>
        <v>0</v>
      </c>
      <c r="AN69" s="334">
        <f t="shared" si="18"/>
        <v>0</v>
      </c>
      <c r="AO69" s="334">
        <f t="shared" si="18"/>
        <v>0</v>
      </c>
      <c r="AP69" s="334">
        <f>-AP56</f>
        <v>0</v>
      </c>
    </row>
    <row r="70" spans="1:45" ht="14.25" x14ac:dyDescent="0.2">
      <c r="A70" s="220" t="s">
        <v>311</v>
      </c>
      <c r="B70" s="335">
        <f t="shared" ref="B70:AO70" si="19">B68+B69</f>
        <v>1515630.19</v>
      </c>
      <c r="C70" s="335">
        <f t="shared" si="19"/>
        <v>-67649.521078805148</v>
      </c>
      <c r="D70" s="335">
        <f t="shared" si="19"/>
        <v>-68404.283333714964</v>
      </c>
      <c r="E70" s="335">
        <f t="shared" si="19"/>
        <v>-69190.745603330986</v>
      </c>
      <c r="F70" s="335">
        <f t="shared" si="19"/>
        <v>-70010.239288270895</v>
      </c>
      <c r="G70" s="335">
        <f t="shared" si="19"/>
        <v>-70864.151707978279</v>
      </c>
      <c r="H70" s="335">
        <f t="shared" si="19"/>
        <v>-71753.92844931336</v>
      </c>
      <c r="I70" s="335">
        <f t="shared" si="19"/>
        <v>-72681.075813784526</v>
      </c>
      <c r="J70" s="335">
        <f t="shared" si="19"/>
        <v>-73647.16336756348</v>
      </c>
      <c r="K70" s="335">
        <f t="shared" si="19"/>
        <v>-74653.826598601139</v>
      </c>
      <c r="L70" s="335">
        <f t="shared" si="19"/>
        <v>-75702.769685342399</v>
      </c>
      <c r="M70" s="335">
        <f t="shared" si="19"/>
        <v>-76795.768381726783</v>
      </c>
      <c r="N70" s="335">
        <f t="shared" si="19"/>
        <v>-77934.673023359297</v>
      </c>
      <c r="O70" s="335">
        <f t="shared" si="19"/>
        <v>-79121.411659940393</v>
      </c>
      <c r="P70" s="335">
        <f t="shared" si="19"/>
        <v>-80357.99331925789</v>
      </c>
      <c r="Q70" s="335">
        <f t="shared" si="19"/>
        <v>-81646.511408266728</v>
      </c>
      <c r="R70" s="335">
        <f t="shared" si="19"/>
        <v>-82989.147257013916</v>
      </c>
      <c r="S70" s="335">
        <f t="shared" si="19"/>
        <v>-84388.173811408516</v>
      </c>
      <c r="T70" s="335">
        <f t="shared" si="19"/>
        <v>-85845.959481087659</v>
      </c>
      <c r="U70" s="335">
        <f t="shared" si="19"/>
        <v>-87364.972148893357</v>
      </c>
      <c r="V70" s="335">
        <f t="shared" si="19"/>
        <v>-88947.783348746889</v>
      </c>
      <c r="W70" s="335">
        <f t="shared" si="19"/>
        <v>-90597.072618994251</v>
      </c>
      <c r="X70" s="335">
        <f t="shared" si="19"/>
        <v>-92315.632038592012</v>
      </c>
      <c r="Y70" s="335">
        <f t="shared" si="19"/>
        <v>-94106.370953812875</v>
      </c>
      <c r="Z70" s="335">
        <f t="shared" si="19"/>
        <v>-95972.32090347301</v>
      </c>
      <c r="AA70" s="335">
        <f t="shared" si="19"/>
        <v>-97916.640751018887</v>
      </c>
      <c r="AB70" s="335">
        <f t="shared" si="19"/>
        <v>-99942.622032161686</v>
      </c>
      <c r="AC70" s="335">
        <f t="shared" si="19"/>
        <v>-102053.69452711247</v>
      </c>
      <c r="AD70" s="335">
        <f t="shared" si="19"/>
        <v>-104253.43206685121</v>
      </c>
      <c r="AE70" s="335">
        <f t="shared" si="19"/>
        <v>-106545.55858325897</v>
      </c>
      <c r="AF70" s="335">
        <f t="shared" si="19"/>
        <v>-108933.95441335585</v>
      </c>
      <c r="AG70" s="335">
        <f t="shared" si="19"/>
        <v>-111422.66286831678</v>
      </c>
      <c r="AH70" s="335">
        <f t="shared" si="19"/>
        <v>-114015.8970783861</v>
      </c>
      <c r="AI70" s="335">
        <f t="shared" si="19"/>
        <v>-116718.0471252783</v>
      </c>
      <c r="AJ70" s="335">
        <f t="shared" si="19"/>
        <v>-119533.68747414</v>
      </c>
      <c r="AK70" s="335">
        <f t="shared" si="19"/>
        <v>-122467.58471765387</v>
      </c>
      <c r="AL70" s="335">
        <f t="shared" si="19"/>
        <v>-125524.70564539536</v>
      </c>
      <c r="AM70" s="335">
        <f t="shared" si="19"/>
        <v>-128710.22565210194</v>
      </c>
      <c r="AN70" s="335">
        <f t="shared" si="19"/>
        <v>-132029.53749909025</v>
      </c>
      <c r="AO70" s="335">
        <f t="shared" si="19"/>
        <v>-135488.26044365205</v>
      </c>
      <c r="AP70" s="335">
        <f>AP68+AP69</f>
        <v>-139092.24975188542</v>
      </c>
    </row>
    <row r="71" spans="1:45" x14ac:dyDescent="0.2">
      <c r="A71" s="219" t="s">
        <v>305</v>
      </c>
      <c r="B71" s="334">
        <f t="shared" ref="B71:AP71" si="20">-B70*$B$36</f>
        <v>-303126.038</v>
      </c>
      <c r="C71" s="334">
        <f t="shared" si="20"/>
        <v>13529.904215761031</v>
      </c>
      <c r="D71" s="334">
        <f t="shared" si="20"/>
        <v>13680.856666742993</v>
      </c>
      <c r="E71" s="334">
        <f t="shared" si="20"/>
        <v>13838.149120666198</v>
      </c>
      <c r="F71" s="334">
        <f t="shared" si="20"/>
        <v>14002.047857654179</v>
      </c>
      <c r="G71" s="334">
        <f t="shared" si="20"/>
        <v>14172.830341595656</v>
      </c>
      <c r="H71" s="334">
        <f t="shared" si="20"/>
        <v>14350.785689862672</v>
      </c>
      <c r="I71" s="334">
        <f t="shared" si="20"/>
        <v>14536.215162756906</v>
      </c>
      <c r="J71" s="334">
        <f t="shared" si="20"/>
        <v>14729.432673512696</v>
      </c>
      <c r="K71" s="334">
        <f t="shared" si="20"/>
        <v>14930.765319720229</v>
      </c>
      <c r="L71" s="334">
        <f t="shared" si="20"/>
        <v>15140.55393706848</v>
      </c>
      <c r="M71" s="334">
        <f t="shared" si="20"/>
        <v>15359.153676345357</v>
      </c>
      <c r="N71" s="334">
        <f t="shared" si="20"/>
        <v>15586.93460467186</v>
      </c>
      <c r="O71" s="334">
        <f t="shared" si="20"/>
        <v>15824.282331988079</v>
      </c>
      <c r="P71" s="334">
        <f t="shared" si="20"/>
        <v>16071.598663851579</v>
      </c>
      <c r="Q71" s="334">
        <f t="shared" si="20"/>
        <v>16329.302281653347</v>
      </c>
      <c r="R71" s="334">
        <f t="shared" si="20"/>
        <v>16597.829451402784</v>
      </c>
      <c r="S71" s="334">
        <f t="shared" si="20"/>
        <v>16877.634762281705</v>
      </c>
      <c r="T71" s="334">
        <f t="shared" si="20"/>
        <v>17169.191896217533</v>
      </c>
      <c r="U71" s="334">
        <f t="shared" si="20"/>
        <v>17472.994429778671</v>
      </c>
      <c r="V71" s="334">
        <f t="shared" si="20"/>
        <v>17789.556669749378</v>
      </c>
      <c r="W71" s="334">
        <f t="shared" si="20"/>
        <v>18119.414523798852</v>
      </c>
      <c r="X71" s="334">
        <f t="shared" si="20"/>
        <v>18463.126407718402</v>
      </c>
      <c r="Y71" s="334">
        <f t="shared" si="20"/>
        <v>18821.274190762575</v>
      </c>
      <c r="Z71" s="334">
        <f t="shared" si="20"/>
        <v>19194.464180694602</v>
      </c>
      <c r="AA71" s="334">
        <f t="shared" si="20"/>
        <v>19583.328150203779</v>
      </c>
      <c r="AB71" s="334">
        <f t="shared" si="20"/>
        <v>19988.524406432338</v>
      </c>
      <c r="AC71" s="334">
        <f t="shared" si="20"/>
        <v>20410.738905422495</v>
      </c>
      <c r="AD71" s="334">
        <f t="shared" si="20"/>
        <v>20850.686413370244</v>
      </c>
      <c r="AE71" s="334">
        <f t="shared" si="20"/>
        <v>21309.111716651794</v>
      </c>
      <c r="AF71" s="334">
        <f t="shared" si="20"/>
        <v>21786.790882671172</v>
      </c>
      <c r="AG71" s="334">
        <f t="shared" si="20"/>
        <v>22284.532573663357</v>
      </c>
      <c r="AH71" s="334">
        <f t="shared" si="20"/>
        <v>22803.179415677223</v>
      </c>
      <c r="AI71" s="334">
        <f t="shared" si="20"/>
        <v>23343.609425055663</v>
      </c>
      <c r="AJ71" s="334">
        <f t="shared" si="20"/>
        <v>23906.737494828001</v>
      </c>
      <c r="AK71" s="334">
        <f t="shared" si="20"/>
        <v>24493.516943530776</v>
      </c>
      <c r="AL71" s="334">
        <f t="shared" si="20"/>
        <v>25104.941129079074</v>
      </c>
      <c r="AM71" s="334">
        <f t="shared" si="20"/>
        <v>25742.045130420389</v>
      </c>
      <c r="AN71" s="334">
        <f t="shared" si="20"/>
        <v>26405.907499818051</v>
      </c>
      <c r="AO71" s="334">
        <f t="shared" si="20"/>
        <v>27097.65208873041</v>
      </c>
      <c r="AP71" s="334">
        <f t="shared" si="20"/>
        <v>27818.449950377086</v>
      </c>
    </row>
    <row r="72" spans="1:45" ht="15" thickBot="1" x14ac:dyDescent="0.25">
      <c r="A72" s="224" t="s">
        <v>310</v>
      </c>
      <c r="B72" s="225">
        <f t="shared" ref="B72:AO72" si="21">B70+B71</f>
        <v>1212504.152</v>
      </c>
      <c r="C72" s="225">
        <f t="shared" si="21"/>
        <v>-54119.616863044117</v>
      </c>
      <c r="D72" s="225">
        <f t="shared" si="21"/>
        <v>-54723.426666971973</v>
      </c>
      <c r="E72" s="225">
        <f t="shared" si="21"/>
        <v>-55352.596482664791</v>
      </c>
      <c r="F72" s="225">
        <f t="shared" si="21"/>
        <v>-56008.191430616716</v>
      </c>
      <c r="G72" s="225">
        <f t="shared" si="21"/>
        <v>-56691.321366382625</v>
      </c>
      <c r="H72" s="225">
        <f t="shared" si="21"/>
        <v>-57403.142759450689</v>
      </c>
      <c r="I72" s="225">
        <f t="shared" si="21"/>
        <v>-58144.860651027622</v>
      </c>
      <c r="J72" s="225">
        <f t="shared" si="21"/>
        <v>-58917.730694050784</v>
      </c>
      <c r="K72" s="225">
        <f t="shared" si="21"/>
        <v>-59723.061278880909</v>
      </c>
      <c r="L72" s="225">
        <f t="shared" si="21"/>
        <v>-60562.21574827392</v>
      </c>
      <c r="M72" s="225">
        <f t="shared" si="21"/>
        <v>-61436.614705381427</v>
      </c>
      <c r="N72" s="225">
        <f t="shared" si="21"/>
        <v>-62347.738418687441</v>
      </c>
      <c r="O72" s="225">
        <f t="shared" si="21"/>
        <v>-63297.129327952316</v>
      </c>
      <c r="P72" s="225">
        <f t="shared" si="21"/>
        <v>-64286.394655406315</v>
      </c>
      <c r="Q72" s="225">
        <f t="shared" si="21"/>
        <v>-65317.209126613379</v>
      </c>
      <c r="R72" s="225">
        <f t="shared" si="21"/>
        <v>-66391.317805611136</v>
      </c>
      <c r="S72" s="225">
        <f t="shared" si="21"/>
        <v>-67510.539049126819</v>
      </c>
      <c r="T72" s="225">
        <f t="shared" si="21"/>
        <v>-68676.767584870133</v>
      </c>
      <c r="U72" s="225">
        <f t="shared" si="21"/>
        <v>-69891.977719114686</v>
      </c>
      <c r="V72" s="225">
        <f t="shared" si="21"/>
        <v>-71158.226678997511</v>
      </c>
      <c r="W72" s="225">
        <f t="shared" si="21"/>
        <v>-72477.658095195395</v>
      </c>
      <c r="X72" s="225">
        <f t="shared" si="21"/>
        <v>-73852.505630873609</v>
      </c>
      <c r="Y72" s="225">
        <f t="shared" si="21"/>
        <v>-75285.0967630503</v>
      </c>
      <c r="Z72" s="225">
        <f t="shared" si="21"/>
        <v>-76777.856722778408</v>
      </c>
      <c r="AA72" s="225">
        <f t="shared" si="21"/>
        <v>-78333.312600815116</v>
      </c>
      <c r="AB72" s="225">
        <f t="shared" si="21"/>
        <v>-79954.097625729351</v>
      </c>
      <c r="AC72" s="225">
        <f t="shared" si="21"/>
        <v>-81642.95562168998</v>
      </c>
      <c r="AD72" s="225">
        <f t="shared" si="21"/>
        <v>-83402.745653480961</v>
      </c>
      <c r="AE72" s="225">
        <f t="shared" si="21"/>
        <v>-85236.446866607177</v>
      </c>
      <c r="AF72" s="225">
        <f t="shared" si="21"/>
        <v>-87147.163530684687</v>
      </c>
      <c r="AG72" s="225">
        <f t="shared" si="21"/>
        <v>-89138.130294653427</v>
      </c>
      <c r="AH72" s="225">
        <f t="shared" si="21"/>
        <v>-91212.717662708877</v>
      </c>
      <c r="AI72" s="225">
        <f t="shared" si="21"/>
        <v>-93374.437700222639</v>
      </c>
      <c r="AJ72" s="225">
        <f t="shared" si="21"/>
        <v>-95626.94997931199</v>
      </c>
      <c r="AK72" s="225">
        <f t="shared" si="21"/>
        <v>-97974.06777412309</v>
      </c>
      <c r="AL72" s="225">
        <f t="shared" si="21"/>
        <v>-100419.76451631628</v>
      </c>
      <c r="AM72" s="225">
        <f t="shared" si="21"/>
        <v>-102968.18052168156</v>
      </c>
      <c r="AN72" s="225">
        <f t="shared" si="21"/>
        <v>-105623.62999927221</v>
      </c>
      <c r="AO72" s="225">
        <f t="shared" si="21"/>
        <v>-108390.60835492164</v>
      </c>
      <c r="AP72" s="225">
        <f>AP70+AP71</f>
        <v>-111273.79980150834</v>
      </c>
    </row>
    <row r="73" spans="1:45" s="227" customFormat="1" ht="16.5" thickBot="1" x14ac:dyDescent="0.25">
      <c r="A73" s="215"/>
      <c r="B73" s="226">
        <f>F141</f>
        <v>2.5</v>
      </c>
      <c r="C73" s="226">
        <f t="shared" ref="C73:AP73" si="22">G141</f>
        <v>3.5</v>
      </c>
      <c r="D73" s="226">
        <f t="shared" si="22"/>
        <v>4.5</v>
      </c>
      <c r="E73" s="226">
        <f t="shared" si="22"/>
        <v>5.5</v>
      </c>
      <c r="F73" s="226">
        <f t="shared" si="22"/>
        <v>6.5</v>
      </c>
      <c r="G73" s="226">
        <f t="shared" si="22"/>
        <v>7.5</v>
      </c>
      <c r="H73" s="226">
        <f t="shared" si="22"/>
        <v>8.5</v>
      </c>
      <c r="I73" s="226">
        <f t="shared" si="22"/>
        <v>9.5</v>
      </c>
      <c r="J73" s="226">
        <f t="shared" si="22"/>
        <v>10.5</v>
      </c>
      <c r="K73" s="226">
        <f t="shared" si="22"/>
        <v>11.5</v>
      </c>
      <c r="L73" s="226">
        <f t="shared" si="22"/>
        <v>12.5</v>
      </c>
      <c r="M73" s="226">
        <f t="shared" si="22"/>
        <v>13.5</v>
      </c>
      <c r="N73" s="226">
        <f t="shared" si="22"/>
        <v>14.5</v>
      </c>
      <c r="O73" s="226">
        <f t="shared" si="22"/>
        <v>15.5</v>
      </c>
      <c r="P73" s="226">
        <f t="shared" si="22"/>
        <v>16.5</v>
      </c>
      <c r="Q73" s="226">
        <f t="shared" si="22"/>
        <v>17.5</v>
      </c>
      <c r="R73" s="226">
        <f t="shared" si="22"/>
        <v>18.5</v>
      </c>
      <c r="S73" s="226">
        <f t="shared" si="22"/>
        <v>19.5</v>
      </c>
      <c r="T73" s="226">
        <f t="shared" si="22"/>
        <v>20.5</v>
      </c>
      <c r="U73" s="226">
        <f t="shared" si="22"/>
        <v>21.5</v>
      </c>
      <c r="V73" s="226">
        <f t="shared" si="22"/>
        <v>22.5</v>
      </c>
      <c r="W73" s="226">
        <f t="shared" si="22"/>
        <v>23.5</v>
      </c>
      <c r="X73" s="226">
        <f t="shared" si="22"/>
        <v>24.5</v>
      </c>
      <c r="Y73" s="226">
        <f t="shared" si="22"/>
        <v>25.5</v>
      </c>
      <c r="Z73" s="226">
        <f t="shared" si="22"/>
        <v>26.5</v>
      </c>
      <c r="AA73" s="226">
        <f t="shared" si="22"/>
        <v>27.5</v>
      </c>
      <c r="AB73" s="226">
        <f t="shared" si="22"/>
        <v>28.5</v>
      </c>
      <c r="AC73" s="226">
        <f t="shared" si="22"/>
        <v>29.5</v>
      </c>
      <c r="AD73" s="226">
        <f t="shared" si="22"/>
        <v>30.5</v>
      </c>
      <c r="AE73" s="226">
        <f t="shared" si="22"/>
        <v>31.5</v>
      </c>
      <c r="AF73" s="226">
        <f t="shared" si="22"/>
        <v>32.5</v>
      </c>
      <c r="AG73" s="226">
        <f t="shared" si="22"/>
        <v>33.5</v>
      </c>
      <c r="AH73" s="226">
        <f t="shared" si="22"/>
        <v>34.5</v>
      </c>
      <c r="AI73" s="226">
        <f t="shared" si="22"/>
        <v>35.5</v>
      </c>
      <c r="AJ73" s="226">
        <f t="shared" si="22"/>
        <v>36.5</v>
      </c>
      <c r="AK73" s="226">
        <f t="shared" si="22"/>
        <v>37.5</v>
      </c>
      <c r="AL73" s="226">
        <f t="shared" si="22"/>
        <v>38.5</v>
      </c>
      <c r="AM73" s="226">
        <f t="shared" si="22"/>
        <v>39.5</v>
      </c>
      <c r="AN73" s="226">
        <f t="shared" si="22"/>
        <v>40.5</v>
      </c>
      <c r="AO73" s="226">
        <f t="shared" si="22"/>
        <v>41.5</v>
      </c>
      <c r="AP73" s="226">
        <f t="shared" si="22"/>
        <v>42.5</v>
      </c>
      <c r="AQ73" s="172"/>
      <c r="AR73" s="172"/>
      <c r="AS73" s="172"/>
    </row>
    <row r="74" spans="1:45" x14ac:dyDescent="0.2">
      <c r="A74" s="210" t="s">
        <v>309</v>
      </c>
      <c r="B74" s="211">
        <f t="shared" ref="B74:AO74" si="23">B58</f>
        <v>1</v>
      </c>
      <c r="C74" s="211">
        <f t="shared" si="23"/>
        <v>2</v>
      </c>
      <c r="D74" s="211">
        <f t="shared" si="23"/>
        <v>3</v>
      </c>
      <c r="E74" s="211">
        <f t="shared" si="23"/>
        <v>4</v>
      </c>
      <c r="F74" s="211">
        <f t="shared" si="23"/>
        <v>5</v>
      </c>
      <c r="G74" s="211">
        <f t="shared" si="23"/>
        <v>6</v>
      </c>
      <c r="H74" s="211">
        <f t="shared" si="23"/>
        <v>7</v>
      </c>
      <c r="I74" s="211">
        <f t="shared" si="23"/>
        <v>8</v>
      </c>
      <c r="J74" s="211">
        <f t="shared" si="23"/>
        <v>9</v>
      </c>
      <c r="K74" s="211">
        <f t="shared" si="23"/>
        <v>10</v>
      </c>
      <c r="L74" s="211">
        <f t="shared" si="23"/>
        <v>11</v>
      </c>
      <c r="M74" s="211">
        <f t="shared" si="23"/>
        <v>12</v>
      </c>
      <c r="N74" s="211">
        <f t="shared" si="23"/>
        <v>13</v>
      </c>
      <c r="O74" s="211">
        <f t="shared" si="23"/>
        <v>14</v>
      </c>
      <c r="P74" s="211">
        <f t="shared" si="23"/>
        <v>15</v>
      </c>
      <c r="Q74" s="211">
        <f t="shared" si="23"/>
        <v>16</v>
      </c>
      <c r="R74" s="211">
        <f t="shared" si="23"/>
        <v>17</v>
      </c>
      <c r="S74" s="211">
        <f t="shared" si="23"/>
        <v>18</v>
      </c>
      <c r="T74" s="211">
        <f t="shared" si="23"/>
        <v>19</v>
      </c>
      <c r="U74" s="211">
        <f t="shared" si="23"/>
        <v>20</v>
      </c>
      <c r="V74" s="211">
        <f t="shared" si="23"/>
        <v>21</v>
      </c>
      <c r="W74" s="211">
        <f t="shared" si="23"/>
        <v>22</v>
      </c>
      <c r="X74" s="211">
        <f t="shared" si="23"/>
        <v>23</v>
      </c>
      <c r="Y74" s="211">
        <f t="shared" si="23"/>
        <v>24</v>
      </c>
      <c r="Z74" s="211">
        <f t="shared" si="23"/>
        <v>25</v>
      </c>
      <c r="AA74" s="211">
        <f t="shared" si="23"/>
        <v>26</v>
      </c>
      <c r="AB74" s="211">
        <f t="shared" si="23"/>
        <v>27</v>
      </c>
      <c r="AC74" s="211">
        <f t="shared" si="23"/>
        <v>28</v>
      </c>
      <c r="AD74" s="211">
        <f t="shared" si="23"/>
        <v>29</v>
      </c>
      <c r="AE74" s="211">
        <f t="shared" si="23"/>
        <v>30</v>
      </c>
      <c r="AF74" s="211">
        <f t="shared" si="23"/>
        <v>31</v>
      </c>
      <c r="AG74" s="211">
        <f t="shared" si="23"/>
        <v>32</v>
      </c>
      <c r="AH74" s="211">
        <f t="shared" si="23"/>
        <v>33</v>
      </c>
      <c r="AI74" s="211">
        <f t="shared" si="23"/>
        <v>34</v>
      </c>
      <c r="AJ74" s="211">
        <f t="shared" si="23"/>
        <v>35</v>
      </c>
      <c r="AK74" s="211">
        <f t="shared" si="23"/>
        <v>36</v>
      </c>
      <c r="AL74" s="211">
        <f t="shared" si="23"/>
        <v>37</v>
      </c>
      <c r="AM74" s="211">
        <f t="shared" si="23"/>
        <v>38</v>
      </c>
      <c r="AN74" s="211">
        <f t="shared" si="23"/>
        <v>39</v>
      </c>
      <c r="AO74" s="211">
        <f t="shared" si="23"/>
        <v>40</v>
      </c>
      <c r="AP74" s="211">
        <f>AP58</f>
        <v>41</v>
      </c>
    </row>
    <row r="75" spans="1:45" ht="28.5" x14ac:dyDescent="0.2">
      <c r="A75" s="218" t="s">
        <v>308</v>
      </c>
      <c r="B75" s="335">
        <f t="shared" ref="B75:AO75" si="24">B68</f>
        <v>1515630.19</v>
      </c>
      <c r="C75" s="335">
        <f t="shared" si="24"/>
        <v>-67649.521078805148</v>
      </c>
      <c r="D75" s="335">
        <f>D68</f>
        <v>-68404.283333714964</v>
      </c>
      <c r="E75" s="335">
        <f t="shared" si="24"/>
        <v>-69190.745603330986</v>
      </c>
      <c r="F75" s="335">
        <f t="shared" si="24"/>
        <v>-70010.239288270895</v>
      </c>
      <c r="G75" s="335">
        <f t="shared" si="24"/>
        <v>-70864.151707978279</v>
      </c>
      <c r="H75" s="335">
        <f t="shared" si="24"/>
        <v>-71753.92844931336</v>
      </c>
      <c r="I75" s="335">
        <f t="shared" si="24"/>
        <v>-72681.075813784526</v>
      </c>
      <c r="J75" s="335">
        <f t="shared" si="24"/>
        <v>-73647.16336756348</v>
      </c>
      <c r="K75" s="335">
        <f t="shared" si="24"/>
        <v>-74653.826598601139</v>
      </c>
      <c r="L75" s="335">
        <f t="shared" si="24"/>
        <v>-75702.769685342399</v>
      </c>
      <c r="M75" s="335">
        <f t="shared" si="24"/>
        <v>-76795.768381726783</v>
      </c>
      <c r="N75" s="335">
        <f t="shared" si="24"/>
        <v>-77934.673023359297</v>
      </c>
      <c r="O75" s="335">
        <f t="shared" si="24"/>
        <v>-79121.411659940393</v>
      </c>
      <c r="P75" s="335">
        <f t="shared" si="24"/>
        <v>-80357.99331925789</v>
      </c>
      <c r="Q75" s="335">
        <f t="shared" si="24"/>
        <v>-81646.511408266728</v>
      </c>
      <c r="R75" s="335">
        <f t="shared" si="24"/>
        <v>-82989.147257013916</v>
      </c>
      <c r="S75" s="335">
        <f t="shared" si="24"/>
        <v>-84388.173811408516</v>
      </c>
      <c r="T75" s="335">
        <f t="shared" si="24"/>
        <v>-85845.959481087659</v>
      </c>
      <c r="U75" s="335">
        <f t="shared" si="24"/>
        <v>-87364.972148893357</v>
      </c>
      <c r="V75" s="335">
        <f t="shared" si="24"/>
        <v>-88947.783348746889</v>
      </c>
      <c r="W75" s="335">
        <f t="shared" si="24"/>
        <v>-90597.072618994251</v>
      </c>
      <c r="X75" s="335">
        <f t="shared" si="24"/>
        <v>-92315.632038592012</v>
      </c>
      <c r="Y75" s="335">
        <f t="shared" si="24"/>
        <v>-94106.370953812875</v>
      </c>
      <c r="Z75" s="335">
        <f t="shared" si="24"/>
        <v>-95972.32090347301</v>
      </c>
      <c r="AA75" s="335">
        <f t="shared" si="24"/>
        <v>-97916.640751018887</v>
      </c>
      <c r="AB75" s="335">
        <f t="shared" si="24"/>
        <v>-99942.622032161686</v>
      </c>
      <c r="AC75" s="335">
        <f t="shared" si="24"/>
        <v>-102053.69452711247</v>
      </c>
      <c r="AD75" s="335">
        <f t="shared" si="24"/>
        <v>-104253.43206685121</v>
      </c>
      <c r="AE75" s="335">
        <f t="shared" si="24"/>
        <v>-106545.55858325897</v>
      </c>
      <c r="AF75" s="335">
        <f t="shared" si="24"/>
        <v>-108933.95441335585</v>
      </c>
      <c r="AG75" s="335">
        <f t="shared" si="24"/>
        <v>-111422.66286831678</v>
      </c>
      <c r="AH75" s="335">
        <f t="shared" si="24"/>
        <v>-114015.8970783861</v>
      </c>
      <c r="AI75" s="335">
        <f t="shared" si="24"/>
        <v>-116718.0471252783</v>
      </c>
      <c r="AJ75" s="335">
        <f t="shared" si="24"/>
        <v>-119533.68747414</v>
      </c>
      <c r="AK75" s="335">
        <f t="shared" si="24"/>
        <v>-122467.58471765387</v>
      </c>
      <c r="AL75" s="335">
        <f t="shared" si="24"/>
        <v>-125524.70564539536</v>
      </c>
      <c r="AM75" s="335">
        <f t="shared" si="24"/>
        <v>-128710.22565210194</v>
      </c>
      <c r="AN75" s="335">
        <f t="shared" si="24"/>
        <v>-132029.53749909025</v>
      </c>
      <c r="AO75" s="335">
        <f t="shared" si="24"/>
        <v>-135488.26044365205</v>
      </c>
      <c r="AP75" s="335">
        <f>AP68</f>
        <v>-139092.24975188542</v>
      </c>
    </row>
    <row r="76" spans="1:45" x14ac:dyDescent="0.2">
      <c r="A76" s="219" t="s">
        <v>307</v>
      </c>
      <c r="B76" s="334">
        <f t="shared" ref="B76:AO76" si="25">-B67</f>
        <v>0</v>
      </c>
      <c r="C76" s="334">
        <f>-C67</f>
        <v>49678.991199999997</v>
      </c>
      <c r="D76" s="334">
        <f t="shared" si="25"/>
        <v>49678.991199999997</v>
      </c>
      <c r="E76" s="334">
        <f t="shared" si="25"/>
        <v>49678.991199999997</v>
      </c>
      <c r="F76" s="334">
        <f>-C67</f>
        <v>49678.991199999997</v>
      </c>
      <c r="G76" s="334">
        <f t="shared" si="25"/>
        <v>49678.991199999997</v>
      </c>
      <c r="H76" s="334">
        <f t="shared" si="25"/>
        <v>49678.991199999997</v>
      </c>
      <c r="I76" s="334">
        <f t="shared" si="25"/>
        <v>49678.991199999997</v>
      </c>
      <c r="J76" s="334">
        <f t="shared" si="25"/>
        <v>49678.991199999997</v>
      </c>
      <c r="K76" s="334">
        <f t="shared" si="25"/>
        <v>49678.991199999997</v>
      </c>
      <c r="L76" s="334">
        <f>-L67</f>
        <v>49678.991199999997</v>
      </c>
      <c r="M76" s="334">
        <f>-M67</f>
        <v>49678.991199999997</v>
      </c>
      <c r="N76" s="334">
        <f t="shared" si="25"/>
        <v>49678.991199999997</v>
      </c>
      <c r="O76" s="334">
        <f t="shared" si="25"/>
        <v>49678.991199999997</v>
      </c>
      <c r="P76" s="334">
        <f t="shared" si="25"/>
        <v>49678.991199999997</v>
      </c>
      <c r="Q76" s="334">
        <f t="shared" si="25"/>
        <v>49678.991199999997</v>
      </c>
      <c r="R76" s="334">
        <f t="shared" si="25"/>
        <v>49678.991199999997</v>
      </c>
      <c r="S76" s="334">
        <f t="shared" si="25"/>
        <v>49678.991199999997</v>
      </c>
      <c r="T76" s="334">
        <f t="shared" si="25"/>
        <v>49678.991199999997</v>
      </c>
      <c r="U76" s="334">
        <f t="shared" si="25"/>
        <v>49678.991199999997</v>
      </c>
      <c r="V76" s="334">
        <f t="shared" si="25"/>
        <v>49678.991199999997</v>
      </c>
      <c r="W76" s="334">
        <f t="shared" si="25"/>
        <v>49678.991199999997</v>
      </c>
      <c r="X76" s="334">
        <f t="shared" si="25"/>
        <v>49678.991199999997</v>
      </c>
      <c r="Y76" s="334">
        <f t="shared" si="25"/>
        <v>49678.991199999997</v>
      </c>
      <c r="Z76" s="334">
        <f t="shared" si="25"/>
        <v>49678.991199999997</v>
      </c>
      <c r="AA76" s="334">
        <f t="shared" si="25"/>
        <v>49678.991199999997</v>
      </c>
      <c r="AB76" s="334">
        <f t="shared" si="25"/>
        <v>49678.991199999997</v>
      </c>
      <c r="AC76" s="334">
        <f t="shared" si="25"/>
        <v>49678.991199999997</v>
      </c>
      <c r="AD76" s="334">
        <f t="shared" si="25"/>
        <v>49678.991199999997</v>
      </c>
      <c r="AE76" s="334">
        <f t="shared" si="25"/>
        <v>49678.991199999997</v>
      </c>
      <c r="AF76" s="334">
        <f t="shared" si="25"/>
        <v>49678.991199999997</v>
      </c>
      <c r="AG76" s="334">
        <f t="shared" si="25"/>
        <v>49678.991199999997</v>
      </c>
      <c r="AH76" s="334">
        <f t="shared" si="25"/>
        <v>49678.991199999997</v>
      </c>
      <c r="AI76" s="334">
        <f t="shared" si="25"/>
        <v>49678.991199999997</v>
      </c>
      <c r="AJ76" s="334">
        <f t="shared" si="25"/>
        <v>49678.991199999997</v>
      </c>
      <c r="AK76" s="334">
        <f t="shared" si="25"/>
        <v>49678.991199999997</v>
      </c>
      <c r="AL76" s="334">
        <f t="shared" si="25"/>
        <v>49678.991199999997</v>
      </c>
      <c r="AM76" s="334">
        <f t="shared" si="25"/>
        <v>49678.991199999997</v>
      </c>
      <c r="AN76" s="334">
        <f t="shared" si="25"/>
        <v>49678.991199999997</v>
      </c>
      <c r="AO76" s="334">
        <f t="shared" si="25"/>
        <v>49678.991199999997</v>
      </c>
      <c r="AP76" s="334">
        <f>-AP67</f>
        <v>49678.991199999997</v>
      </c>
    </row>
    <row r="77" spans="1:45" x14ac:dyDescent="0.2">
      <c r="A77" s="219" t="s">
        <v>306</v>
      </c>
      <c r="B77" s="334">
        <f t="shared" ref="B77:AO77" si="26">B69</f>
        <v>0</v>
      </c>
      <c r="C77" s="334">
        <f t="shared" si="26"/>
        <v>0</v>
      </c>
      <c r="D77" s="334">
        <f t="shared" si="26"/>
        <v>0</v>
      </c>
      <c r="E77" s="334">
        <f t="shared" si="26"/>
        <v>0</v>
      </c>
      <c r="F77" s="334">
        <f t="shared" si="26"/>
        <v>0</v>
      </c>
      <c r="G77" s="334">
        <f t="shared" si="26"/>
        <v>0</v>
      </c>
      <c r="H77" s="334">
        <f t="shared" si="26"/>
        <v>0</v>
      </c>
      <c r="I77" s="334">
        <f t="shared" si="26"/>
        <v>0</v>
      </c>
      <c r="J77" s="334">
        <f t="shared" si="26"/>
        <v>0</v>
      </c>
      <c r="K77" s="334">
        <f t="shared" si="26"/>
        <v>0</v>
      </c>
      <c r="L77" s="334">
        <f t="shared" si="26"/>
        <v>0</v>
      </c>
      <c r="M77" s="334">
        <f t="shared" si="26"/>
        <v>0</v>
      </c>
      <c r="N77" s="334">
        <f t="shared" si="26"/>
        <v>0</v>
      </c>
      <c r="O77" s="334">
        <f t="shared" si="26"/>
        <v>0</v>
      </c>
      <c r="P77" s="334">
        <f t="shared" si="26"/>
        <v>0</v>
      </c>
      <c r="Q77" s="334">
        <f t="shared" si="26"/>
        <v>0</v>
      </c>
      <c r="R77" s="334">
        <f t="shared" si="26"/>
        <v>0</v>
      </c>
      <c r="S77" s="334">
        <f t="shared" si="26"/>
        <v>0</v>
      </c>
      <c r="T77" s="334">
        <f t="shared" si="26"/>
        <v>0</v>
      </c>
      <c r="U77" s="334">
        <f t="shared" si="26"/>
        <v>0</v>
      </c>
      <c r="V77" s="334">
        <f t="shared" si="26"/>
        <v>0</v>
      </c>
      <c r="W77" s="334">
        <f t="shared" si="26"/>
        <v>0</v>
      </c>
      <c r="X77" s="334">
        <f t="shared" si="26"/>
        <v>0</v>
      </c>
      <c r="Y77" s="334">
        <f t="shared" si="26"/>
        <v>0</v>
      </c>
      <c r="Z77" s="334">
        <f t="shared" si="26"/>
        <v>0</v>
      </c>
      <c r="AA77" s="334">
        <f t="shared" si="26"/>
        <v>0</v>
      </c>
      <c r="AB77" s="334">
        <f t="shared" si="26"/>
        <v>0</v>
      </c>
      <c r="AC77" s="334">
        <f t="shared" si="26"/>
        <v>0</v>
      </c>
      <c r="AD77" s="334">
        <f t="shared" si="26"/>
        <v>0</v>
      </c>
      <c r="AE77" s="334">
        <f t="shared" si="26"/>
        <v>0</v>
      </c>
      <c r="AF77" s="334">
        <f t="shared" si="26"/>
        <v>0</v>
      </c>
      <c r="AG77" s="334">
        <f t="shared" si="26"/>
        <v>0</v>
      </c>
      <c r="AH77" s="334">
        <f t="shared" si="26"/>
        <v>0</v>
      </c>
      <c r="AI77" s="334">
        <f t="shared" si="26"/>
        <v>0</v>
      </c>
      <c r="AJ77" s="334">
        <f t="shared" si="26"/>
        <v>0</v>
      </c>
      <c r="AK77" s="334">
        <f t="shared" si="26"/>
        <v>0</v>
      </c>
      <c r="AL77" s="334">
        <f t="shared" si="26"/>
        <v>0</v>
      </c>
      <c r="AM77" s="334">
        <f t="shared" si="26"/>
        <v>0</v>
      </c>
      <c r="AN77" s="334">
        <f t="shared" si="26"/>
        <v>0</v>
      </c>
      <c r="AO77" s="334">
        <f t="shared" si="26"/>
        <v>0</v>
      </c>
      <c r="AP77" s="334">
        <f>AP69</f>
        <v>0</v>
      </c>
    </row>
    <row r="78" spans="1:45" x14ac:dyDescent="0.2">
      <c r="A78" s="219" t="s">
        <v>305</v>
      </c>
      <c r="B78" s="334">
        <f>IF(SUM($B$71:B71)+SUM($A$78:A78)&gt;0,0,SUM($B$71:B71)-SUM($A$78:A78))</f>
        <v>-303126.038</v>
      </c>
      <c r="C78" s="334">
        <f>IF(SUM($B$71:C71)+SUM($A$78:B78)&gt;0,0,SUM($B$71:C71)-SUM($A$78:B78))</f>
        <v>13529.904215761053</v>
      </c>
      <c r="D78" s="334">
        <f>IF(SUM($B$71:D71)+SUM($A$78:C78)&gt;0,0,SUM($B$71:D71)-SUM($A$78:C78))</f>
        <v>13680.856666742999</v>
      </c>
      <c r="E78" s="334">
        <f>IF(SUM($B$71:E71)+SUM($A$78:D78)&gt;0,0,SUM($B$71:E71)-SUM($A$78:D78))</f>
        <v>13838.149120666203</v>
      </c>
      <c r="F78" s="334">
        <f>IF(SUM($B$71:F71)+SUM($A$78:E78)&gt;0,0,SUM($B$71:F71)-SUM($A$78:E78))</f>
        <v>14002.047857654165</v>
      </c>
      <c r="G78" s="334">
        <f>IF(SUM($B$71:G71)+SUM($A$78:F78)&gt;0,0,SUM($B$71:G71)-SUM($A$78:F78))</f>
        <v>14172.830341595662</v>
      </c>
      <c r="H78" s="334">
        <f>IF(SUM($B$71:H71)+SUM($A$78:G78)&gt;0,0,SUM($B$71:H71)-SUM($A$78:G78))</f>
        <v>14350.785689862678</v>
      </c>
      <c r="I78" s="334">
        <f>IF(SUM($B$71:I71)+SUM($A$78:H78)&gt;0,0,SUM($B$71:I71)-SUM($A$78:H78))</f>
        <v>14536.215162756911</v>
      </c>
      <c r="J78" s="334">
        <f>IF(SUM($B$71:J71)+SUM($A$78:I78)&gt;0,0,SUM($B$71:J71)-SUM($A$78:I78))</f>
        <v>14729.432673512696</v>
      </c>
      <c r="K78" s="334">
        <f>IF(SUM($B$71:K71)+SUM($A$78:J78)&gt;0,0,SUM($B$71:K71)-SUM($A$78:J78))</f>
        <v>14930.765319720231</v>
      </c>
      <c r="L78" s="334">
        <f>IF(SUM($B$71:L71)+SUM($A$78:K78)&gt;0,0,SUM($B$71:L71)-SUM($A$78:K78))</f>
        <v>15140.553937068471</v>
      </c>
      <c r="M78" s="334">
        <f>IF(SUM($B$71:M71)+SUM($A$78:L78)&gt;0,0,SUM($B$71:M71)-SUM($A$78:L78))</f>
        <v>15359.153676345362</v>
      </c>
      <c r="N78" s="334">
        <f>IF(SUM($B$71:N71)+SUM($A$78:M78)&gt;0,0,SUM($B$71:N71)-SUM($A$78:M78))</f>
        <v>15586.934604671857</v>
      </c>
      <c r="O78" s="334">
        <f>IF(SUM($B$71:O71)+SUM($A$78:N78)&gt;0,0,SUM($B$71:O71)-SUM($A$78:N78))</f>
        <v>15824.282331988084</v>
      </c>
      <c r="P78" s="334">
        <f>IF(SUM($B$71:P71)+SUM($A$78:O78)&gt;0,0,SUM($B$71:P71)-SUM($A$78:O78))</f>
        <v>16071.598663851575</v>
      </c>
      <c r="Q78" s="334">
        <f>IF(SUM($B$71:Q71)+SUM($A$78:P78)&gt;0,0,SUM($B$71:Q71)-SUM($A$78:P78))</f>
        <v>16329.302281653348</v>
      </c>
      <c r="R78" s="334">
        <f>IF(SUM($B$71:R71)+SUM($A$78:Q78)&gt;0,0,SUM($B$71:R71)-SUM($A$78:Q78))</f>
        <v>16597.82945140278</v>
      </c>
      <c r="S78" s="334">
        <f>IF(SUM($B$71:S71)+SUM($A$78:R78)&gt;0,0,SUM($B$71:S71)-SUM($A$78:R78))</f>
        <v>16877.634762281705</v>
      </c>
      <c r="T78" s="334">
        <f>IF(SUM($B$71:T71)+SUM($A$78:S78)&gt;0,0,SUM($B$71:T71)-SUM($A$78:S78))</f>
        <v>17169.191896217533</v>
      </c>
      <c r="U78" s="334">
        <f>IF(SUM($B$71:U71)+SUM($A$78:T78)&gt;0,0,SUM($B$71:U71)-SUM($A$78:T78))</f>
        <v>17472.994429778671</v>
      </c>
      <c r="V78" s="334">
        <f>IF(SUM($B$71:V71)+SUM($A$78:U78)&gt;0,0,SUM($B$71:V71)-SUM($A$78:U78))</f>
        <v>17789.556669749378</v>
      </c>
      <c r="W78" s="334">
        <f>IF(SUM($B$71:W71)+SUM($A$78:V78)&gt;0,0,SUM($B$71:W71)-SUM($A$78:V78))</f>
        <v>0</v>
      </c>
      <c r="X78" s="334">
        <f>IF(SUM($B$71:X71)+SUM($A$78:W78)&gt;0,0,SUM($B$71:X71)-SUM($A$78:W78))</f>
        <v>0</v>
      </c>
      <c r="Y78" s="334">
        <f>IF(SUM($B$71:Y71)+SUM($A$78:X78)&gt;0,0,SUM($B$71:Y71)-SUM($A$78:X78))</f>
        <v>0</v>
      </c>
      <c r="Z78" s="334">
        <f>IF(SUM($B$71:Z71)+SUM($A$78:Y78)&gt;0,0,SUM($B$71:Z71)-SUM($A$78:Y78))</f>
        <v>0</v>
      </c>
      <c r="AA78" s="334">
        <f>IF(SUM($B$71:AA71)+SUM($A$78:Z78)&gt;0,0,SUM($B$71:AA71)-SUM($A$78:Z78))</f>
        <v>0</v>
      </c>
      <c r="AB78" s="334">
        <f>IF(SUM($B$71:AB71)+SUM($A$78:AA78)&gt;0,0,SUM($B$71:AB71)-SUM($A$78:AA78))</f>
        <v>0</v>
      </c>
      <c r="AC78" s="334">
        <f>IF(SUM($B$71:AC71)+SUM($A$78:AB78)&gt;0,0,SUM($B$71:AC71)-SUM($A$78:AB78))</f>
        <v>0</v>
      </c>
      <c r="AD78" s="334">
        <f>IF(SUM($B$71:AD71)+SUM($A$78:AC78)&gt;0,0,SUM($B$71:AD71)-SUM($A$78:AC78))</f>
        <v>0</v>
      </c>
      <c r="AE78" s="334">
        <f>IF(SUM($B$71:AE71)+SUM($A$78:AD78)&gt;0,0,SUM($B$71:AE71)-SUM($A$78:AD78))</f>
        <v>0</v>
      </c>
      <c r="AF78" s="334">
        <f>IF(SUM($B$71:AF71)+SUM($A$78:AE78)&gt;0,0,SUM($B$71:AF71)-SUM($A$78:AE78))</f>
        <v>0</v>
      </c>
      <c r="AG78" s="334">
        <f>IF(SUM($B$71:AG71)+SUM($A$78:AF78)&gt;0,0,SUM($B$71:AG71)-SUM($A$78:AF78))</f>
        <v>0</v>
      </c>
      <c r="AH78" s="334">
        <f>IF(SUM($B$71:AH71)+SUM($A$78:AG78)&gt;0,0,SUM($B$71:AH71)-SUM($A$78:AG78))</f>
        <v>0</v>
      </c>
      <c r="AI78" s="334">
        <f>IF(SUM($B$71:AI71)+SUM($A$78:AH78)&gt;0,0,SUM($B$71:AI71)-SUM($A$78:AH78))</f>
        <v>0</v>
      </c>
      <c r="AJ78" s="334">
        <f>IF(SUM($B$71:AJ71)+SUM($A$78:AI78)&gt;0,0,SUM($B$71:AJ71)-SUM($A$78:AI78))</f>
        <v>0</v>
      </c>
      <c r="AK78" s="334">
        <f>IF(SUM($B$71:AK71)+SUM($A$78:AJ78)&gt;0,0,SUM($B$71:AK71)-SUM($A$78:AJ78))</f>
        <v>0</v>
      </c>
      <c r="AL78" s="334">
        <f>IF(SUM($B$71:AL71)+SUM($A$78:AK78)&gt;0,0,SUM($B$71:AL71)-SUM($A$78:AK78))</f>
        <v>0</v>
      </c>
      <c r="AM78" s="334">
        <f>IF(SUM($B$71:AM71)+SUM($A$78:AL78)&gt;0,0,SUM($B$71:AM71)-SUM($A$78:AL78))</f>
        <v>0</v>
      </c>
      <c r="AN78" s="334">
        <f>IF(SUM($B$71:AN71)+SUM($A$78:AM78)&gt;0,0,SUM($B$71:AN71)-SUM($A$78:AM78))</f>
        <v>0</v>
      </c>
      <c r="AO78" s="334">
        <f>IF(SUM($B$71:AO71)+SUM($A$78:AN78)&gt;0,0,SUM($B$71:AO71)-SUM($A$78:AN78))</f>
        <v>0</v>
      </c>
      <c r="AP78" s="334">
        <f>IF(SUM($B$71:AP71)+SUM($A$78:AO78)&gt;0,0,SUM($B$71:AP71)-SUM($A$78:AO78))</f>
        <v>0</v>
      </c>
    </row>
    <row r="79" spans="1:45" x14ac:dyDescent="0.2">
      <c r="A79" s="219" t="s">
        <v>304</v>
      </c>
      <c r="B79" s="334">
        <f>IF(((SUM($B$59:B59)+SUM($B$61:B64))+SUM($B$81:B81))&lt;0,((SUM($B$59:B59)+SUM($B$61:B64))+SUM($B$81:B81))*0.18-SUM($A$79:A79),IF(SUM(A$79:$B79)&lt;0,0-SUM(A$79:$B79),0))</f>
        <v>-9.0000000083819021E-3</v>
      </c>
      <c r="C79" s="334">
        <f>IF(((SUM($B$59:C59)+SUM($B$61:C64))+SUM($B$81:C81))&lt;0,((SUM($B$59:C59)+SUM($B$61:C64))+SUM($B$81:C81))*0.18-SUM($A$79:B79),IF(SUM($B$79:B79)&lt;0,0-SUM($B$79:B79),0))</f>
        <v>-3234.6953781849288</v>
      </c>
      <c r="D79" s="334">
        <f>IF(((SUM($B$59:D59)+SUM($B$61:D64))+SUM($B$81:D81))&lt;0,((SUM($B$59:D59)+SUM($B$61:D64))+SUM($B$81:D81))*0.18-SUM($A$79:C79),IF(SUM($B$79:C79)&lt;0,0-SUM($B$79:C79),0))</f>
        <v>-3370.5525840687005</v>
      </c>
      <c r="E79" s="334">
        <f>IF(((SUM($B$59:E59)+SUM($B$61:E64))+SUM($B$81:E81))&lt;0,((SUM($B$59:E59)+SUM($B$61:E64))+SUM($B$81:E81))*0.18-SUM($A$79:D79),IF(SUM($B$79:D79)&lt;0,0-SUM($B$79:D79),0))</f>
        <v>-3512.1157925995522</v>
      </c>
      <c r="F79" s="334">
        <f>IF(((SUM($B$59:F59)+SUM($B$61:F64))+SUM($B$81:F81))&lt;0,((SUM($B$59:F59)+SUM($B$61:F64))+SUM($B$81:F81))*0.18-SUM($A$79:E79),IF(SUM($B$79:E79)&lt;0,0-SUM($B$79:E79),0))</f>
        <v>-3659.6246558888033</v>
      </c>
      <c r="G79" s="334">
        <f>IF(((SUM($B$59:G59)+SUM($B$61:G64))+SUM($B$81:G81))&lt;0,((SUM($B$59:G59)+SUM($B$61:G64))+SUM($B$81:G81))*0.18-SUM($A$79:F79),IF(SUM($B$79:F79)&lt;0,0-SUM($B$79:F79),0))</f>
        <v>-3813.3288914360692</v>
      </c>
      <c r="H79" s="334">
        <f>IF(((SUM($B$59:H59)+SUM($B$61:H64))+SUM($B$81:H81))&lt;0,((SUM($B$59:H59)+SUM($B$61:H64))+SUM($B$81:H81))*0.18-SUM($A$79:G79),IF(SUM($B$79:G79)&lt;0,0-SUM($B$79:G79),0))</f>
        <v>-3973.4887048764031</v>
      </c>
      <c r="I79" s="334">
        <f>IF(((SUM($B$59:I59)+SUM($B$61:I64))+SUM($B$81:I81))&lt;0,((SUM($B$59:I59)+SUM($B$61:I64))+SUM($B$81:I81))*0.18-SUM($A$79:H79),IF(SUM($B$79:H79)&lt;0,0-SUM($B$79:H79),0))</f>
        <v>-4140.3752304812006</v>
      </c>
      <c r="J79" s="334">
        <f>IF(((SUM($B$59:J59)+SUM($B$61:J64))+SUM($B$81:J81))&lt;0,((SUM($B$59:J59)+SUM($B$61:J64))+SUM($B$81:J81))*0.18-SUM($A$79:I79),IF(SUM($B$79:I79)&lt;0,0-SUM($B$79:I79),0))</f>
        <v>-4314.2709901614435</v>
      </c>
      <c r="K79" s="334">
        <f>IF(((SUM($B$59:K59)+SUM($B$61:K64))+SUM($B$81:K81))&lt;0,((SUM($B$59:K59)+SUM($B$61:K64))+SUM($B$81:K81))*0.18-SUM($A$79:J79),IF(SUM($B$79:J79)&lt;0,0-SUM($B$79:J79),0))</f>
        <v>-4495.4703717482043</v>
      </c>
      <c r="L79" s="334">
        <f>IF(((SUM($B$59:L59)+SUM($B$61:L64))+SUM($B$81:L81))&lt;0,((SUM($B$59:L59)+SUM($B$61:L64))+SUM($B$81:L81))*0.18-SUM($A$79:K79),IF(SUM($B$79:K79)&lt;0,0-SUM($B$79:K79),0))</f>
        <v>-4684.2801273616278</v>
      </c>
      <c r="M79" s="334">
        <f>IF(((SUM($B$59:M59)+SUM($B$61:M64))+SUM($B$81:M81))&lt;0,((SUM($B$59:M59)+SUM($B$61:M64))+SUM($B$81:M81))*0.18-SUM($A$79:L79),IF(SUM($B$79:L79)&lt;0,0-SUM($B$79:L79),0))</f>
        <v>-4881.0198927108431</v>
      </c>
      <c r="N79" s="334">
        <f>IF(((SUM($B$59:N59)+SUM($B$61:N64))+SUM($B$81:N81))&lt;0,((SUM($B$59:N59)+SUM($B$61:N64))+SUM($B$81:N81))*0.18-SUM($A$79:M79),IF(SUM($B$79:M79)&lt;0,0-SUM($B$79:M79),0))</f>
        <v>-5086.0227282046399</v>
      </c>
      <c r="O79" s="334">
        <f>IF(((SUM($B$59:O59)+SUM($B$61:O64))+SUM($B$81:O81))&lt;0,((SUM($B$59:O59)+SUM($B$61:O64))+SUM($B$81:O81))*0.18-SUM($A$79:N79),IF(SUM($B$79:N79)&lt;0,0-SUM($B$79:N79),0))</f>
        <v>-5299.635682789296</v>
      </c>
      <c r="P79" s="334">
        <f>IF(((SUM($B$59:P59)+SUM($B$61:P64))+SUM($B$81:P81))&lt;0,((SUM($B$59:P59)+SUM($B$61:P64))+SUM($B$81:P81))*0.18-SUM($A$79:O79),IF(SUM($B$79:O79)&lt;0,0-SUM($B$79:O79),0))</f>
        <v>-5522.2203814664099</v>
      </c>
      <c r="Q79" s="334">
        <f>IF(((SUM($B$59:Q59)+SUM($B$61:Q64))+SUM($B$81:Q81))&lt;0,((SUM($B$59:Q59)+SUM($B$61:Q64))+SUM($B$81:Q81))*0.18-SUM($A$79:P79),IF(SUM($B$79:P79)&lt;0,0-SUM($B$79:P79),0))</f>
        <v>-5754.1536374880161</v>
      </c>
      <c r="R79" s="334">
        <f>IF(((SUM($B$59:R59)+SUM($B$61:R64))+SUM($B$81:R81))&lt;0,((SUM($B$59:R59)+SUM($B$61:R64))+SUM($B$81:R81))*0.18-SUM($A$79:Q79),IF(SUM($B$79:Q79)&lt;0,0-SUM($B$79:Q79),0))</f>
        <v>-5995.828090262512</v>
      </c>
      <c r="S79" s="334">
        <f>IF(((SUM($B$59:S59)+SUM($B$61:S64))+SUM($B$81:S81))&lt;0,((SUM($B$59:S59)+SUM($B$61:S64))+SUM($B$81:S81))*0.18-SUM($A$79:R79),IF(SUM($B$79:R79)&lt;0,0-SUM($B$79:R79),0))</f>
        <v>-6247.6528700535127</v>
      </c>
      <c r="T79" s="334">
        <f>IF(((SUM($B$59:T59)+SUM($B$61:T64))+SUM($B$81:T81))&lt;0,((SUM($B$59:T59)+SUM($B$61:T64))+SUM($B$81:T81))*0.18-SUM($A$79:S79),IF(SUM($B$79:S79)&lt;0,0-SUM($B$79:S79),0))</f>
        <v>-6510.0542905957991</v>
      </c>
      <c r="U79" s="334">
        <f>IF(((SUM($B$59:U59)+SUM($B$61:U64))+SUM($B$81:U81))&lt;0,((SUM($B$59:U59)+SUM($B$61:U64))+SUM($B$81:U81))*0.18-SUM($A$79:T79),IF(SUM($B$79:T79)&lt;0,0-SUM($B$79:T79),0))</f>
        <v>-6783.4765708008053</v>
      </c>
      <c r="V79" s="334">
        <f>IF(((SUM($B$59:V59)+SUM($B$61:V64))+SUM($B$81:V81))&lt;0,((SUM($B$59:V59)+SUM($B$61:V64))+SUM($B$81:V81))*0.18-SUM($A$79:U79),IF(SUM($B$79:U79)&lt;0,0-SUM($B$79:U79),0))</f>
        <v>-7068.3825867744454</v>
      </c>
      <c r="W79" s="334">
        <f>IF(((SUM($B$59:W59)+SUM($B$61:W64))+SUM($B$81:W81))&lt;0,((SUM($B$59:W59)+SUM($B$61:W64))+SUM($B$81:W81))*0.18-SUM($A$79:V79),IF(SUM($B$79:V79)&lt;0,0-SUM($B$79:V79),0))</f>
        <v>-7365.2546554189612</v>
      </c>
      <c r="X79" s="334">
        <f>IF(((SUM($B$59:X59)+SUM($B$61:X64))+SUM($B$81:X81))&lt;0,((SUM($B$59:X59)+SUM($B$61:X64))+SUM($B$81:X81))*0.18-SUM($A$79:W79),IF(SUM($B$79:W79)&lt;0,0-SUM($B$79:W79),0))</f>
        <v>-7674.5953509465471</v>
      </c>
      <c r="Y79" s="334">
        <f>IF(((SUM($B$59:Y59)+SUM($B$61:Y64))+SUM($B$81:Y81))&lt;0,((SUM($B$59:Y59)+SUM($B$61:Y64))+SUM($B$81:Y81))*0.18-SUM($A$79:X79),IF(SUM($B$79:X79)&lt;0,0-SUM($B$79:X79),0))</f>
        <v>-7996.9283556863229</v>
      </c>
      <c r="Z79" s="334">
        <f>IF(((SUM($B$59:Z59)+SUM($B$61:Z64))+SUM($B$81:Z81))&lt;0,((SUM($B$59:Z59)+SUM($B$61:Z64))+SUM($B$81:Z81))*0.18-SUM($A$79:Y79),IF(SUM($B$79:Y79)&lt;0,0-SUM($B$79:Y79),0))</f>
        <v>-8332.7993466251501</v>
      </c>
      <c r="AA79" s="334">
        <f>IF(((SUM($B$59:AA59)+SUM($B$61:AA64))+SUM($B$81:AA81))&lt;0,((SUM($B$59:AA59)+SUM($B$61:AA64))+SUM($B$81:AA81))*0.18-SUM($A$79:Z79),IF(SUM($B$79:Z79)&lt;0,0-SUM($B$79:Z79),0))</f>
        <v>-8682.7769191833795</v>
      </c>
      <c r="AB79" s="334">
        <f>IF(((SUM($B$59:AB59)+SUM($B$61:AB64))+SUM($B$81:AB81))&lt;0,((SUM($B$59:AB59)+SUM($B$61:AB64))+SUM($B$81:AB81))*0.18-SUM($A$79:AA79),IF(SUM($B$79:AA79)&lt;0,0-SUM($B$79:AA79),0))</f>
        <v>-9047.4535497890902</v>
      </c>
      <c r="AC79" s="334">
        <f>IF(((SUM($B$59:AC59)+SUM($B$61:AC64))+SUM($B$81:AC81))&lt;0,((SUM($B$59:AC59)+SUM($B$61:AC64))+SUM($B$81:AC81))*0.18-SUM($A$79:AB79),IF(SUM($B$79:AB79)&lt;0,0-SUM($B$79:AB79),0))</f>
        <v>-9427.4465988802549</v>
      </c>
      <c r="AD79" s="334">
        <f>IF(((SUM($B$59:AD59)+SUM($B$61:AD64))+SUM($B$81:AD81))&lt;0,((SUM($B$59:AD59)+SUM($B$61:AD64))+SUM($B$81:AD81))*0.18-SUM($A$79:AC79),IF(SUM($B$79:AC79)&lt;0,0-SUM($B$79:AC79),0))</f>
        <v>-9823.3993560332165</v>
      </c>
      <c r="AE79" s="334">
        <f>IF(((SUM($B$59:AE59)+SUM($B$61:AE64))+SUM($B$81:AE81))&lt;0,((SUM($B$59:AE59)+SUM($B$61:AE64))+SUM($B$81:AE81))*0.18-SUM($A$79:AD79),IF(SUM($B$79:AD79)&lt;0,0-SUM($B$79:AD79),0))</f>
        <v>-10235.982128986623</v>
      </c>
      <c r="AF79" s="334">
        <f>IF(((SUM($B$59:AF59)+SUM($B$61:AF64))+SUM($B$81:AF81))&lt;0,((SUM($B$59:AF59)+SUM($B$61:AF64))+SUM($B$81:AF81))*0.18-SUM($A$79:AE79),IF(SUM($B$79:AE79)&lt;0,0-SUM($B$79:AE79),0))</f>
        <v>-10665.893378404056</v>
      </c>
      <c r="AG79" s="334">
        <f>IF(((SUM($B$59:AG59)+SUM($B$61:AG64))+SUM($B$81:AG81))&lt;0,((SUM($B$59:AG59)+SUM($B$61:AG64))+SUM($B$81:AG81))*0.18-SUM($A$79:AF79),IF(SUM($B$79:AF79)&lt;0,0-SUM($B$79:AF79),0))</f>
        <v>-11113.860900297004</v>
      </c>
      <c r="AH79" s="334">
        <f>IF(((SUM($B$59:AH59)+SUM($B$61:AH64))+SUM($B$81:AH81))&lt;0,((SUM($B$59:AH59)+SUM($B$61:AH64))+SUM($B$81:AH81))*0.18-SUM($A$79:AG79),IF(SUM($B$79:AG79)&lt;0,0-SUM($B$79:AG79),0))</f>
        <v>-11580.643058109476</v>
      </c>
      <c r="AI79" s="334">
        <f>IF(((SUM($B$59:AI59)+SUM($B$61:AI64))+SUM($B$81:AI81))&lt;0,((SUM($B$59:AI59)+SUM($B$61:AI64))+SUM($B$81:AI81))*0.18-SUM($A$79:AH79),IF(SUM($B$79:AH79)&lt;0,0-SUM($B$79:AH79),0))</f>
        <v>-12067.030066550098</v>
      </c>
      <c r="AJ79" s="334">
        <f>IF(((SUM($B$59:AJ59)+SUM($B$61:AJ64))+SUM($B$81:AJ81))&lt;0,((SUM($B$59:AJ59)+SUM($B$61:AJ64))+SUM($B$81:AJ81))*0.18-SUM($A$79:AI79),IF(SUM($B$79:AI79)&lt;0,0-SUM($B$79:AI79),0))</f>
        <v>-12573.845329345175</v>
      </c>
      <c r="AK79" s="334">
        <f>IF(((SUM($B$59:AK59)+SUM($B$61:AK64))+SUM($B$81:AK81))&lt;0,((SUM($B$59:AK59)+SUM($B$61:AK64))+SUM($B$81:AK81))*0.18-SUM($A$79:AJ79),IF(SUM($B$79:AJ79)&lt;0,0-SUM($B$79:AJ79),0))</f>
        <v>-13101.946833177703</v>
      </c>
      <c r="AL79" s="334">
        <f>IF(((SUM($B$59:AL59)+SUM($B$61:AL64))+SUM($B$81:AL81))&lt;0,((SUM($B$59:AL59)+SUM($B$61:AL64))+SUM($B$81:AL81))*0.18-SUM($A$79:AK79),IF(SUM($B$79:AK79)&lt;0,0-SUM($B$79:AK79),0))</f>
        <v>-13652.228600171162</v>
      </c>
      <c r="AM79" s="334">
        <f>IF(((SUM($B$59:AM59)+SUM($B$61:AM64))+SUM($B$81:AM81))&lt;0,((SUM($B$59:AM59)+SUM($B$61:AM64))+SUM($B$81:AM81))*0.18-SUM($A$79:AL79),IF(SUM($B$79:AL79)&lt;0,0-SUM($B$79:AL79),0))</f>
        <v>-14225.622201378312</v>
      </c>
      <c r="AN79" s="334">
        <f>IF(((SUM($B$59:AN59)+SUM($B$61:AN64))+SUM($B$81:AN81))&lt;0,((SUM($B$59:AN59)+SUM($B$61:AN64))+SUM($B$81:AN81))*0.18-SUM($A$79:AM79),IF(SUM($B$79:AM79)&lt;0,0-SUM($B$79:AM79),0))</f>
        <v>-14823.098333836242</v>
      </c>
      <c r="AO79" s="334">
        <f>IF(((SUM($B$59:AO59)+SUM($B$61:AO64))+SUM($B$81:AO81))&lt;0,((SUM($B$59:AO59)+SUM($B$61:AO64))+SUM($B$81:AO81))*0.18-SUM($A$79:AN79),IF(SUM($B$79:AN79)&lt;0,0-SUM($B$79:AN79),0))</f>
        <v>-15445.668463857379</v>
      </c>
      <c r="AP79" s="334">
        <f>IF(((SUM($B$59:AP59)+SUM($B$61:AP64))+SUM($B$81:AP81))&lt;0,((SUM($B$59:AP59)+SUM($B$61:AP64))+SUM($B$81:AP81))*0.18-SUM($A$79:AO79),IF(SUM($B$79:AO79)&lt;0,0-SUM($B$79:AO79),0))</f>
        <v>-16094.386539339379</v>
      </c>
    </row>
    <row r="80" spans="1:45" x14ac:dyDescent="0.2">
      <c r="A80" s="219" t="s">
        <v>303</v>
      </c>
      <c r="B80" s="334">
        <f>-B59*(B39)</f>
        <v>0</v>
      </c>
      <c r="C80" s="334">
        <f t="shared" ref="C80:AP80" si="27">-(C59-B59)*$B$39</f>
        <v>0</v>
      </c>
      <c r="D80" s="334">
        <f t="shared" si="27"/>
        <v>0</v>
      </c>
      <c r="E80" s="334">
        <f t="shared" si="27"/>
        <v>0</v>
      </c>
      <c r="F80" s="334">
        <f t="shared" si="27"/>
        <v>0</v>
      </c>
      <c r="G80" s="334">
        <f t="shared" si="27"/>
        <v>0</v>
      </c>
      <c r="H80" s="334">
        <f t="shared" si="27"/>
        <v>0</v>
      </c>
      <c r="I80" s="334">
        <f t="shared" si="27"/>
        <v>0</v>
      </c>
      <c r="J80" s="334">
        <f t="shared" si="27"/>
        <v>0</v>
      </c>
      <c r="K80" s="334">
        <f t="shared" si="27"/>
        <v>0</v>
      </c>
      <c r="L80" s="334">
        <f t="shared" si="27"/>
        <v>0</v>
      </c>
      <c r="M80" s="334">
        <f t="shared" si="27"/>
        <v>0</v>
      </c>
      <c r="N80" s="334">
        <f t="shared" si="27"/>
        <v>0</v>
      </c>
      <c r="O80" s="334">
        <f t="shared" si="27"/>
        <v>0</v>
      </c>
      <c r="P80" s="334">
        <f t="shared" si="27"/>
        <v>0</v>
      </c>
      <c r="Q80" s="334">
        <f t="shared" si="27"/>
        <v>0</v>
      </c>
      <c r="R80" s="334">
        <f t="shared" si="27"/>
        <v>0</v>
      </c>
      <c r="S80" s="334">
        <f t="shared" si="27"/>
        <v>0</v>
      </c>
      <c r="T80" s="334">
        <f t="shared" si="27"/>
        <v>0</v>
      </c>
      <c r="U80" s="334">
        <f t="shared" si="27"/>
        <v>0</v>
      </c>
      <c r="V80" s="334">
        <f t="shared" si="27"/>
        <v>0</v>
      </c>
      <c r="W80" s="334">
        <f t="shared" si="27"/>
        <v>0</v>
      </c>
      <c r="X80" s="334">
        <f t="shared" si="27"/>
        <v>0</v>
      </c>
      <c r="Y80" s="334">
        <f t="shared" si="27"/>
        <v>0</v>
      </c>
      <c r="Z80" s="334">
        <f t="shared" si="27"/>
        <v>0</v>
      </c>
      <c r="AA80" s="334">
        <f t="shared" si="27"/>
        <v>0</v>
      </c>
      <c r="AB80" s="334">
        <f t="shared" si="27"/>
        <v>0</v>
      </c>
      <c r="AC80" s="334">
        <f t="shared" si="27"/>
        <v>0</v>
      </c>
      <c r="AD80" s="334">
        <f t="shared" si="27"/>
        <v>0</v>
      </c>
      <c r="AE80" s="334">
        <f t="shared" si="27"/>
        <v>0</v>
      </c>
      <c r="AF80" s="334">
        <f t="shared" si="27"/>
        <v>0</v>
      </c>
      <c r="AG80" s="334">
        <f t="shared" si="27"/>
        <v>0</v>
      </c>
      <c r="AH80" s="334">
        <f t="shared" si="27"/>
        <v>0</v>
      </c>
      <c r="AI80" s="334">
        <f t="shared" si="27"/>
        <v>0</v>
      </c>
      <c r="AJ80" s="334">
        <f t="shared" si="27"/>
        <v>0</v>
      </c>
      <c r="AK80" s="334">
        <f t="shared" si="27"/>
        <v>0</v>
      </c>
      <c r="AL80" s="334">
        <f t="shared" si="27"/>
        <v>0</v>
      </c>
      <c r="AM80" s="334">
        <f t="shared" si="27"/>
        <v>0</v>
      </c>
      <c r="AN80" s="334">
        <f t="shared" si="27"/>
        <v>0</v>
      </c>
      <c r="AO80" s="334">
        <f t="shared" si="27"/>
        <v>0</v>
      </c>
      <c r="AP80" s="334">
        <f t="shared" si="27"/>
        <v>0</v>
      </c>
    </row>
    <row r="81" spans="1:45" x14ac:dyDescent="0.2">
      <c r="A81" s="219" t="s">
        <v>540</v>
      </c>
      <c r="B81" s="334">
        <f>-$B$126</f>
        <v>-1515630.24</v>
      </c>
      <c r="C81" s="334"/>
      <c r="D81" s="334"/>
      <c r="E81" s="334"/>
      <c r="F81" s="334"/>
      <c r="G81" s="334"/>
      <c r="H81" s="334"/>
      <c r="I81" s="334"/>
      <c r="J81" s="334"/>
      <c r="K81" s="334"/>
      <c r="L81" s="334"/>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222">
        <f>SUM(B81:AP81)</f>
        <v>-1515630.24</v>
      </c>
      <c r="AR81" s="223"/>
    </row>
    <row r="82" spans="1:45" x14ac:dyDescent="0.2">
      <c r="A82" s="219" t="s">
        <v>302</v>
      </c>
      <c r="B82" s="334">
        <f t="shared" ref="B82:AO82" si="28">B54-B55</f>
        <v>0</v>
      </c>
      <c r="C82" s="334">
        <f t="shared" si="28"/>
        <v>0</v>
      </c>
      <c r="D82" s="334">
        <f t="shared" si="28"/>
        <v>0</v>
      </c>
      <c r="E82" s="334">
        <f t="shared" si="28"/>
        <v>0</v>
      </c>
      <c r="F82" s="334">
        <f t="shared" si="28"/>
        <v>0</v>
      </c>
      <c r="G82" s="334">
        <f t="shared" si="28"/>
        <v>0</v>
      </c>
      <c r="H82" s="334">
        <f t="shared" si="28"/>
        <v>0</v>
      </c>
      <c r="I82" s="334">
        <f t="shared" si="28"/>
        <v>0</v>
      </c>
      <c r="J82" s="334">
        <f t="shared" si="28"/>
        <v>0</v>
      </c>
      <c r="K82" s="334">
        <f t="shared" si="28"/>
        <v>0</v>
      </c>
      <c r="L82" s="334">
        <f t="shared" si="28"/>
        <v>0</v>
      </c>
      <c r="M82" s="334">
        <f t="shared" si="28"/>
        <v>0</v>
      </c>
      <c r="N82" s="334">
        <f t="shared" si="28"/>
        <v>0</v>
      </c>
      <c r="O82" s="334">
        <f t="shared" si="28"/>
        <v>0</v>
      </c>
      <c r="P82" s="334">
        <f t="shared" si="28"/>
        <v>0</v>
      </c>
      <c r="Q82" s="334">
        <f t="shared" si="28"/>
        <v>0</v>
      </c>
      <c r="R82" s="334">
        <f t="shared" si="28"/>
        <v>0</v>
      </c>
      <c r="S82" s="334">
        <f t="shared" si="28"/>
        <v>0</v>
      </c>
      <c r="T82" s="334">
        <f t="shared" si="28"/>
        <v>0</v>
      </c>
      <c r="U82" s="334">
        <f t="shared" si="28"/>
        <v>0</v>
      </c>
      <c r="V82" s="334">
        <f t="shared" si="28"/>
        <v>0</v>
      </c>
      <c r="W82" s="334">
        <f t="shared" si="28"/>
        <v>0</v>
      </c>
      <c r="X82" s="334">
        <f t="shared" si="28"/>
        <v>0</v>
      </c>
      <c r="Y82" s="334">
        <f t="shared" si="28"/>
        <v>0</v>
      </c>
      <c r="Z82" s="334">
        <f t="shared" si="28"/>
        <v>0</v>
      </c>
      <c r="AA82" s="334">
        <f t="shared" si="28"/>
        <v>0</v>
      </c>
      <c r="AB82" s="334">
        <f t="shared" si="28"/>
        <v>0</v>
      </c>
      <c r="AC82" s="334">
        <f t="shared" si="28"/>
        <v>0</v>
      </c>
      <c r="AD82" s="334">
        <f t="shared" si="28"/>
        <v>0</v>
      </c>
      <c r="AE82" s="334">
        <f t="shared" si="28"/>
        <v>0</v>
      </c>
      <c r="AF82" s="334">
        <f t="shared" si="28"/>
        <v>0</v>
      </c>
      <c r="AG82" s="334">
        <f t="shared" si="28"/>
        <v>0</v>
      </c>
      <c r="AH82" s="334">
        <f t="shared" si="28"/>
        <v>0</v>
      </c>
      <c r="AI82" s="334">
        <f t="shared" si="28"/>
        <v>0</v>
      </c>
      <c r="AJ82" s="334">
        <f t="shared" si="28"/>
        <v>0</v>
      </c>
      <c r="AK82" s="334">
        <f t="shared" si="28"/>
        <v>0</v>
      </c>
      <c r="AL82" s="334">
        <f t="shared" si="28"/>
        <v>0</v>
      </c>
      <c r="AM82" s="334">
        <f t="shared" si="28"/>
        <v>0</v>
      </c>
      <c r="AN82" s="334">
        <f t="shared" si="28"/>
        <v>0</v>
      </c>
      <c r="AO82" s="334">
        <f t="shared" si="28"/>
        <v>0</v>
      </c>
      <c r="AP82" s="334">
        <f>AP54-AP55</f>
        <v>0</v>
      </c>
    </row>
    <row r="83" spans="1:45" ht="14.25" x14ac:dyDescent="0.2">
      <c r="A83" s="220" t="s">
        <v>301</v>
      </c>
      <c r="B83" s="335">
        <f>SUM(B75:B82)</f>
        <v>-303126.09700000007</v>
      </c>
      <c r="C83" s="335">
        <f t="shared" ref="C83:V83" si="29">SUM(C75:C82)</f>
        <v>-7675.3210412290273</v>
      </c>
      <c r="D83" s="335">
        <f t="shared" si="29"/>
        <v>-8414.9880510406692</v>
      </c>
      <c r="E83" s="335">
        <f t="shared" si="29"/>
        <v>-9185.7210752643387</v>
      </c>
      <c r="F83" s="335">
        <f t="shared" si="29"/>
        <v>-9988.8248865055375</v>
      </c>
      <c r="G83" s="335">
        <f t="shared" si="29"/>
        <v>-10825.65905781869</v>
      </c>
      <c r="H83" s="335">
        <f t="shared" si="29"/>
        <v>-11697.640264327089</v>
      </c>
      <c r="I83" s="335">
        <f t="shared" si="29"/>
        <v>-12606.244681508819</v>
      </c>
      <c r="J83" s="335">
        <f t="shared" si="29"/>
        <v>-13553.010484212231</v>
      </c>
      <c r="K83" s="335">
        <f t="shared" si="29"/>
        <v>-14539.540450629116</v>
      </c>
      <c r="L83" s="335">
        <f t="shared" si="29"/>
        <v>-15567.504675635559</v>
      </c>
      <c r="M83" s="335">
        <f t="shared" si="29"/>
        <v>-16638.643398092267</v>
      </c>
      <c r="N83" s="335">
        <f t="shared" si="29"/>
        <v>-17754.769946892084</v>
      </c>
      <c r="O83" s="335">
        <f t="shared" si="29"/>
        <v>-18917.773810741608</v>
      </c>
      <c r="P83" s="335">
        <f t="shared" si="29"/>
        <v>-20129.623836872728</v>
      </c>
      <c r="Q83" s="335">
        <f t="shared" si="29"/>
        <v>-21392.371564101399</v>
      </c>
      <c r="R83" s="335">
        <f t="shared" si="29"/>
        <v>-22708.154695873651</v>
      </c>
      <c r="S83" s="335">
        <f t="shared" si="29"/>
        <v>-24079.200719180328</v>
      </c>
      <c r="T83" s="335">
        <f t="shared" si="29"/>
        <v>-25507.830675465928</v>
      </c>
      <c r="U83" s="335">
        <f t="shared" si="29"/>
        <v>-26996.463089915494</v>
      </c>
      <c r="V83" s="335">
        <f t="shared" si="29"/>
        <v>-28547.61806577196</v>
      </c>
      <c r="W83" s="335">
        <f>SUM(W75:W82)</f>
        <v>-48283.336074413215</v>
      </c>
      <c r="X83" s="335">
        <f>SUM(X75:X82)</f>
        <v>-50311.236189538562</v>
      </c>
      <c r="Y83" s="335">
        <f>SUM(Y75:Y82)</f>
        <v>-52424.308109499201</v>
      </c>
      <c r="Z83" s="335">
        <f>SUM(Z75:Z82)</f>
        <v>-54626.129050098163</v>
      </c>
      <c r="AA83" s="335">
        <f t="shared" ref="AA83:AP83" si="30">SUM(AA75:AA82)</f>
        <v>-56920.42647020227</v>
      </c>
      <c r="AB83" s="335">
        <f t="shared" si="30"/>
        <v>-59311.084381950779</v>
      </c>
      <c r="AC83" s="335">
        <f t="shared" si="30"/>
        <v>-61802.14992599273</v>
      </c>
      <c r="AD83" s="335">
        <f t="shared" si="30"/>
        <v>-64397.840222884428</v>
      </c>
      <c r="AE83" s="335">
        <f t="shared" si="30"/>
        <v>-67102.549512245605</v>
      </c>
      <c r="AF83" s="335">
        <f t="shared" si="30"/>
        <v>-69920.856591759919</v>
      </c>
      <c r="AG83" s="335">
        <f t="shared" si="30"/>
        <v>-72857.532568613795</v>
      </c>
      <c r="AH83" s="335">
        <f t="shared" si="30"/>
        <v>-75917.548936495587</v>
      </c>
      <c r="AI83" s="335">
        <f t="shared" si="30"/>
        <v>-79106.085991828411</v>
      </c>
      <c r="AJ83" s="335">
        <f t="shared" si="30"/>
        <v>-82428.541603485181</v>
      </c>
      <c r="AK83" s="335">
        <f t="shared" si="30"/>
        <v>-85890.540350831579</v>
      </c>
      <c r="AL83" s="335">
        <f t="shared" si="30"/>
        <v>-89497.943045566528</v>
      </c>
      <c r="AM83" s="335">
        <f t="shared" si="30"/>
        <v>-93256.856653480267</v>
      </c>
      <c r="AN83" s="335">
        <f t="shared" si="30"/>
        <v>-97173.644632926502</v>
      </c>
      <c r="AO83" s="335">
        <f t="shared" si="30"/>
        <v>-101254.93770750944</v>
      </c>
      <c r="AP83" s="335">
        <f t="shared" si="30"/>
        <v>-105507.64509122481</v>
      </c>
    </row>
    <row r="84" spans="1:45" ht="14.25" x14ac:dyDescent="0.2">
      <c r="A84" s="220" t="s">
        <v>300</v>
      </c>
      <c r="B84" s="335">
        <f>SUM($B$83:B83)</f>
        <v>-303126.09700000007</v>
      </c>
      <c r="C84" s="335">
        <f>SUM($B$83:C83)</f>
        <v>-310801.41804122907</v>
      </c>
      <c r="D84" s="335">
        <f>SUM($B$83:D83)</f>
        <v>-319216.40609226975</v>
      </c>
      <c r="E84" s="335">
        <f>SUM($B$83:E83)</f>
        <v>-328402.12716753408</v>
      </c>
      <c r="F84" s="335">
        <f>SUM($B$83:F83)</f>
        <v>-338390.95205403963</v>
      </c>
      <c r="G84" s="335">
        <f>SUM($B$83:G83)</f>
        <v>-349216.61111185834</v>
      </c>
      <c r="H84" s="335">
        <f>SUM($B$83:H83)</f>
        <v>-360914.25137618545</v>
      </c>
      <c r="I84" s="335">
        <f>SUM($B$83:I83)</f>
        <v>-373520.49605769425</v>
      </c>
      <c r="J84" s="335">
        <f>SUM($B$83:J83)</f>
        <v>-387073.50654190651</v>
      </c>
      <c r="K84" s="335">
        <f>SUM($B$83:K83)</f>
        <v>-401613.04699253564</v>
      </c>
      <c r="L84" s="335">
        <f>SUM($B$83:L83)</f>
        <v>-417180.55166817119</v>
      </c>
      <c r="M84" s="335">
        <f>SUM($B$83:M83)</f>
        <v>-433819.19506626343</v>
      </c>
      <c r="N84" s="335">
        <f>SUM($B$83:N83)</f>
        <v>-451573.96501315554</v>
      </c>
      <c r="O84" s="335">
        <f>SUM($B$83:O83)</f>
        <v>-470491.73882389715</v>
      </c>
      <c r="P84" s="335">
        <f>SUM($B$83:P83)</f>
        <v>-490621.3626607699</v>
      </c>
      <c r="Q84" s="335">
        <f>SUM($B$83:Q83)</f>
        <v>-512013.73422487127</v>
      </c>
      <c r="R84" s="335">
        <f>SUM($B$83:R83)</f>
        <v>-534721.88892074488</v>
      </c>
      <c r="S84" s="335">
        <f>SUM($B$83:S83)</f>
        <v>-558801.08963992517</v>
      </c>
      <c r="T84" s="335">
        <f>SUM($B$83:T83)</f>
        <v>-584308.92031539115</v>
      </c>
      <c r="U84" s="335">
        <f>SUM($B$83:U83)</f>
        <v>-611305.38340530661</v>
      </c>
      <c r="V84" s="335">
        <f>SUM($B$83:V83)</f>
        <v>-639853.00147107861</v>
      </c>
      <c r="W84" s="335">
        <f>SUM($B$83:W83)</f>
        <v>-688136.33754549187</v>
      </c>
      <c r="X84" s="335">
        <f>SUM($B$83:X83)</f>
        <v>-738447.57373503048</v>
      </c>
      <c r="Y84" s="335">
        <f>SUM($B$83:Y83)</f>
        <v>-790871.88184452965</v>
      </c>
      <c r="Z84" s="335">
        <f>SUM($B$83:Z83)</f>
        <v>-845498.01089462778</v>
      </c>
      <c r="AA84" s="335">
        <f>SUM($B$83:AA83)</f>
        <v>-902418.43736483005</v>
      </c>
      <c r="AB84" s="335">
        <f>SUM($B$83:AB83)</f>
        <v>-961729.52174678084</v>
      </c>
      <c r="AC84" s="335">
        <f>SUM($B$83:AC83)</f>
        <v>-1023531.6716727735</v>
      </c>
      <c r="AD84" s="335">
        <f>SUM($B$83:AD83)</f>
        <v>-1087929.511895658</v>
      </c>
      <c r="AE84" s="335">
        <f>SUM($B$83:AE83)</f>
        <v>-1155032.0614079037</v>
      </c>
      <c r="AF84" s="335">
        <f>SUM($B$83:AF83)</f>
        <v>-1224952.9179996636</v>
      </c>
      <c r="AG84" s="335">
        <f>SUM($B$83:AG83)</f>
        <v>-1297810.4505682774</v>
      </c>
      <c r="AH84" s="335">
        <f>SUM($B$83:AH83)</f>
        <v>-1373727.9995047729</v>
      </c>
      <c r="AI84" s="335">
        <f>SUM($B$83:AI83)</f>
        <v>-1452834.0854966014</v>
      </c>
      <c r="AJ84" s="335">
        <f>SUM($B$83:AJ83)</f>
        <v>-1535262.6271000865</v>
      </c>
      <c r="AK84" s="335">
        <f>SUM($B$83:AK83)</f>
        <v>-1621153.1674509181</v>
      </c>
      <c r="AL84" s="335">
        <f>SUM($B$83:AL83)</f>
        <v>-1710651.1104964847</v>
      </c>
      <c r="AM84" s="335">
        <f>SUM($B$83:AM83)</f>
        <v>-1803907.967149965</v>
      </c>
      <c r="AN84" s="335">
        <f>SUM($B$83:AN83)</f>
        <v>-1901081.6117828914</v>
      </c>
      <c r="AO84" s="335">
        <f>SUM($B$83:AO83)</f>
        <v>-2002336.5494904008</v>
      </c>
      <c r="AP84" s="335">
        <f>SUM($B$83:AP83)</f>
        <v>-2107844.1945816255</v>
      </c>
    </row>
    <row r="85" spans="1:45" x14ac:dyDescent="0.2">
      <c r="A85" s="219" t="s">
        <v>541</v>
      </c>
      <c r="B85" s="336">
        <f t="shared" ref="B85:AP85" si="31">1/POWER((1+$B$44),B73)</f>
        <v>0.6273824743710017</v>
      </c>
      <c r="C85" s="336">
        <f t="shared" si="31"/>
        <v>0.52064935632448273</v>
      </c>
      <c r="D85" s="336">
        <f t="shared" si="31"/>
        <v>0.43207415462612664</v>
      </c>
      <c r="E85" s="336">
        <f t="shared" si="31"/>
        <v>0.35856776317520883</v>
      </c>
      <c r="F85" s="336">
        <f t="shared" si="31"/>
        <v>0.29756660844415667</v>
      </c>
      <c r="G85" s="336">
        <f t="shared" si="31"/>
        <v>0.24694324352212174</v>
      </c>
      <c r="H85" s="336">
        <f t="shared" si="31"/>
        <v>0.20493215230051592</v>
      </c>
      <c r="I85" s="336">
        <f t="shared" si="31"/>
        <v>0.1700681761830008</v>
      </c>
      <c r="J85" s="336">
        <f t="shared" si="31"/>
        <v>0.14113541591950271</v>
      </c>
      <c r="K85" s="336">
        <f t="shared" si="31"/>
        <v>0.11712482648921385</v>
      </c>
      <c r="L85" s="336">
        <f t="shared" si="31"/>
        <v>9.719902613212765E-2</v>
      </c>
      <c r="M85" s="336">
        <f t="shared" si="31"/>
        <v>8.0663092225832109E-2</v>
      </c>
      <c r="N85" s="336">
        <f t="shared" si="31"/>
        <v>6.6940325498615838E-2</v>
      </c>
      <c r="O85" s="336">
        <f t="shared" si="31"/>
        <v>5.5552137343249659E-2</v>
      </c>
      <c r="P85" s="336">
        <f t="shared" si="31"/>
        <v>4.6101358791078552E-2</v>
      </c>
      <c r="Q85" s="336">
        <f t="shared" si="31"/>
        <v>3.825838903823945E-2</v>
      </c>
      <c r="R85" s="336">
        <f t="shared" si="31"/>
        <v>3.174970044667174E-2</v>
      </c>
      <c r="S85" s="336">
        <f t="shared" si="31"/>
        <v>2.6348299125868668E-2</v>
      </c>
      <c r="T85" s="336">
        <f t="shared" si="31"/>
        <v>2.1865808403210511E-2</v>
      </c>
      <c r="U85" s="336">
        <f t="shared" si="31"/>
        <v>1.814589908980126E-2</v>
      </c>
      <c r="V85" s="336">
        <f t="shared" si="31"/>
        <v>1.5058837418922204E-2</v>
      </c>
      <c r="W85" s="336">
        <f t="shared" si="31"/>
        <v>1.2496960513628384E-2</v>
      </c>
      <c r="X85" s="336">
        <f t="shared" si="31"/>
        <v>1.0370921588073345E-2</v>
      </c>
      <c r="Y85" s="336">
        <f t="shared" si="31"/>
        <v>8.6065739320110735E-3</v>
      </c>
      <c r="Z85" s="336">
        <f t="shared" si="31"/>
        <v>7.1423850058183183E-3</v>
      </c>
      <c r="AA85" s="336">
        <f t="shared" si="31"/>
        <v>5.9272904612600145E-3</v>
      </c>
      <c r="AB85" s="336">
        <f t="shared" si="31"/>
        <v>4.9189132458589318E-3</v>
      </c>
      <c r="AC85" s="336">
        <f t="shared" si="31"/>
        <v>4.082085681210732E-3</v>
      </c>
      <c r="AD85" s="336">
        <f t="shared" si="31"/>
        <v>3.3876229719591129E-3</v>
      </c>
      <c r="AE85" s="336">
        <f t="shared" si="31"/>
        <v>2.8113053709204251E-3</v>
      </c>
      <c r="AF85" s="336">
        <f t="shared" si="31"/>
        <v>2.3330335028385286E-3</v>
      </c>
      <c r="AG85" s="336">
        <f t="shared" si="31"/>
        <v>1.9361273882477412E-3</v>
      </c>
      <c r="AH85" s="336">
        <f t="shared" si="31"/>
        <v>1.6067447205375444E-3</v>
      </c>
      <c r="AI85" s="336">
        <f t="shared" si="31"/>
        <v>1.3333981083299121E-3</v>
      </c>
      <c r="AJ85" s="336">
        <f t="shared" si="31"/>
        <v>1.1065544467468149E-3</v>
      </c>
      <c r="AK85" s="336">
        <f t="shared" si="31"/>
        <v>9.1830244543304122E-4</v>
      </c>
      <c r="AL85" s="336">
        <f t="shared" si="31"/>
        <v>7.6207671820169396E-4</v>
      </c>
      <c r="AM85" s="336">
        <f t="shared" si="31"/>
        <v>6.3242881178563804E-4</v>
      </c>
      <c r="AN85" s="336">
        <f t="shared" si="31"/>
        <v>5.2483718820384888E-4</v>
      </c>
      <c r="AO85" s="336">
        <f t="shared" si="31"/>
        <v>4.3554953377912764E-4</v>
      </c>
      <c r="AP85" s="336">
        <f t="shared" si="31"/>
        <v>3.6145189525238806E-4</v>
      </c>
    </row>
    <row r="86" spans="1:45" ht="28.5" x14ac:dyDescent="0.2">
      <c r="A86" s="218" t="s">
        <v>299</v>
      </c>
      <c r="B86" s="335">
        <f>B83*B85</f>
        <v>-190176.0007822843</v>
      </c>
      <c r="C86" s="335">
        <f>C83*C85</f>
        <v>-3996.1509596996516</v>
      </c>
      <c r="D86" s="335">
        <f t="shared" ref="D86:AO86" si="32">D83*D85</f>
        <v>-3635.8988483423541</v>
      </c>
      <c r="E86" s="335">
        <f t="shared" si="32"/>
        <v>-3293.7034591089082</v>
      </c>
      <c r="F86" s="335">
        <f t="shared" si="32"/>
        <v>-2972.3407438200411</v>
      </c>
      <c r="G86" s="335">
        <f t="shared" si="32"/>
        <v>-2673.3233610023835</v>
      </c>
      <c r="H86" s="335">
        <f t="shared" si="32"/>
        <v>-2397.2225962057264</v>
      </c>
      <c r="I86" s="335">
        <f t="shared" si="32"/>
        <v>-2143.9210415008583</v>
      </c>
      <c r="J86" s="335">
        <f t="shared" si="32"/>
        <v>-1912.8097716506741</v>
      </c>
      <c r="K86" s="335">
        <f t="shared" si="32"/>
        <v>-1702.9411525128414</v>
      </c>
      <c r="L86" s="335">
        <f t="shared" si="32"/>
        <v>-1513.14629377912</v>
      </c>
      <c r="M86" s="335">
        <f t="shared" si="32"/>
        <v>-1342.1244269330491</v>
      </c>
      <c r="N86" s="335">
        <f t="shared" si="32"/>
        <v>-1188.5100793979984</v>
      </c>
      <c r="O86" s="335">
        <f t="shared" si="32"/>
        <v>-1050.9227689628492</v>
      </c>
      <c r="P86" s="335">
        <f t="shared" si="32"/>
        <v>-928.00301083311695</v>
      </c>
      <c r="Q86" s="335">
        <f t="shared" si="32"/>
        <v>-818.4376737499623</v>
      </c>
      <c r="R86" s="335">
        <f t="shared" si="32"/>
        <v>-720.97710929067057</v>
      </c>
      <c r="S86" s="335">
        <f t="shared" si="32"/>
        <v>-634.44598326079529</v>
      </c>
      <c r="T86" s="335">
        <f t="shared" si="32"/>
        <v>-557.74933833127375</v>
      </c>
      <c r="U86" s="335">
        <f t="shared" si="32"/>
        <v>-489.8750950111509</v>
      </c>
      <c r="V86" s="335">
        <f t="shared" si="32"/>
        <v>-429.89393914994633</v>
      </c>
      <c r="W86" s="335">
        <f t="shared" si="32"/>
        <v>-603.39494438819088</v>
      </c>
      <c r="X86" s="335">
        <f t="shared" si="32"/>
        <v>-521.7738855207424</v>
      </c>
      <c r="Y86" s="335">
        <f t="shared" si="32"/>
        <v>-451.19368357893256</v>
      </c>
      <c r="Z86" s="335">
        <f t="shared" si="32"/>
        <v>-390.16084505331759</v>
      </c>
      <c r="AA86" s="335">
        <f t="shared" si="32"/>
        <v>-337.38390086768197</v>
      </c>
      <c r="AB86" s="335">
        <f t="shared" si="32"/>
        <v>-291.74607859263449</v>
      </c>
      <c r="AC86" s="335">
        <f t="shared" si="32"/>
        <v>-252.28167128093381</v>
      </c>
      <c r="AD86" s="335">
        <f t="shared" si="32"/>
        <v>-218.15560288359583</v>
      </c>
      <c r="AE86" s="335">
        <f t="shared" si="32"/>
        <v>-188.64575784622983</v>
      </c>
      <c r="AF86" s="335">
        <f t="shared" si="32"/>
        <v>-163.12770097574406</v>
      </c>
      <c r="AG86" s="335">
        <f t="shared" si="32"/>
        <v>-141.06146424624498</v>
      </c>
      <c r="AH86" s="335">
        <f t="shared" si="32"/>
        <v>-121.98012094986495</v>
      </c>
      <c r="AI86" s="335">
        <f t="shared" si="32"/>
        <v>-105.47990541888736</v>
      </c>
      <c r="AJ86" s="335">
        <f t="shared" si="32"/>
        <v>-91.211669250191363</v>
      </c>
      <c r="AK86" s="335">
        <f t="shared" si="32"/>
        <v>-78.873493243733947</v>
      </c>
      <c r="AL86" s="335">
        <f t="shared" si="32"/>
        <v>-68.204298721967461</v>
      </c>
      <c r="AM86" s="335">
        <f t="shared" si="32"/>
        <v>-58.978323044224098</v>
      </c>
      <c r="AN86" s="335">
        <f t="shared" si="32"/>
        <v>-51.000342416665177</v>
      </c>
      <c r="AO86" s="335">
        <f t="shared" si="32"/>
        <v>-44.101540911340351</v>
      </c>
      <c r="AP86" s="335">
        <f>AP83*AP85</f>
        <v>-38.135938281839522</v>
      </c>
    </row>
    <row r="87" spans="1:45" ht="14.25" x14ac:dyDescent="0.2">
      <c r="A87" s="218" t="s">
        <v>298</v>
      </c>
      <c r="B87" s="335">
        <f>SUM($B$86:B86)</f>
        <v>-190176.0007822843</v>
      </c>
      <c r="C87" s="335">
        <f>SUM($B$86:C86)</f>
        <v>-194172.15174198395</v>
      </c>
      <c r="D87" s="335">
        <f>SUM($B$86:D86)</f>
        <v>-197808.05059032631</v>
      </c>
      <c r="E87" s="335">
        <f>SUM($B$86:E86)</f>
        <v>-201101.75404943523</v>
      </c>
      <c r="F87" s="335">
        <f>SUM($B$86:F86)</f>
        <v>-204074.09479325527</v>
      </c>
      <c r="G87" s="335">
        <f>SUM($B$86:G86)</f>
        <v>-206747.41815425764</v>
      </c>
      <c r="H87" s="335">
        <f>SUM($B$86:H86)</f>
        <v>-209144.64075046335</v>
      </c>
      <c r="I87" s="335">
        <f>SUM($B$86:I86)</f>
        <v>-211288.56179196422</v>
      </c>
      <c r="J87" s="335">
        <f>SUM($B$86:J86)</f>
        <v>-213201.3715636149</v>
      </c>
      <c r="K87" s="335">
        <f>SUM($B$86:K86)</f>
        <v>-214904.31271612775</v>
      </c>
      <c r="L87" s="335">
        <f>SUM($B$86:L86)</f>
        <v>-216417.45900990686</v>
      </c>
      <c r="M87" s="335">
        <f>SUM($B$86:M86)</f>
        <v>-217759.58343683992</v>
      </c>
      <c r="N87" s="335">
        <f>SUM($B$86:N86)</f>
        <v>-218948.09351623792</v>
      </c>
      <c r="O87" s="335">
        <f>SUM($B$86:O86)</f>
        <v>-219999.01628520078</v>
      </c>
      <c r="P87" s="335">
        <f>SUM($B$86:P86)</f>
        <v>-220927.01929603389</v>
      </c>
      <c r="Q87" s="335">
        <f>SUM($B$86:Q86)</f>
        <v>-221745.45696978385</v>
      </c>
      <c r="R87" s="335">
        <f>SUM($B$86:R86)</f>
        <v>-222466.4340790745</v>
      </c>
      <c r="S87" s="335">
        <f>SUM($B$86:S86)</f>
        <v>-223100.88006233529</v>
      </c>
      <c r="T87" s="335">
        <f>SUM($B$86:T86)</f>
        <v>-223658.62940066657</v>
      </c>
      <c r="U87" s="335">
        <f>SUM($B$86:U86)</f>
        <v>-224148.50449567771</v>
      </c>
      <c r="V87" s="335">
        <f>SUM($B$86:V86)</f>
        <v>-224578.39843482766</v>
      </c>
      <c r="W87" s="335">
        <f>SUM($B$86:W86)</f>
        <v>-225181.79337921584</v>
      </c>
      <c r="X87" s="335">
        <f>SUM($B$86:X86)</f>
        <v>-225703.56726473657</v>
      </c>
      <c r="Y87" s="335">
        <f>SUM($B$86:Y86)</f>
        <v>-226154.7609483155</v>
      </c>
      <c r="Z87" s="335">
        <f>SUM($B$86:Z86)</f>
        <v>-226544.92179336882</v>
      </c>
      <c r="AA87" s="335">
        <f>SUM($B$86:AA86)</f>
        <v>-226882.30569423651</v>
      </c>
      <c r="AB87" s="335">
        <f>SUM($B$86:AB86)</f>
        <v>-227174.05177282915</v>
      </c>
      <c r="AC87" s="335">
        <f>SUM($B$86:AC86)</f>
        <v>-227426.33344411009</v>
      </c>
      <c r="AD87" s="335">
        <f>SUM($B$86:AD86)</f>
        <v>-227644.48904699369</v>
      </c>
      <c r="AE87" s="335">
        <f>SUM($B$86:AE86)</f>
        <v>-227833.13480483994</v>
      </c>
      <c r="AF87" s="335">
        <f>SUM($B$86:AF86)</f>
        <v>-227996.26250581568</v>
      </c>
      <c r="AG87" s="335">
        <f>SUM($B$86:AG86)</f>
        <v>-228137.32397006193</v>
      </c>
      <c r="AH87" s="335">
        <f>SUM($B$86:AH86)</f>
        <v>-228259.30409101179</v>
      </c>
      <c r="AI87" s="335">
        <f>SUM($B$86:AI86)</f>
        <v>-228364.78399643066</v>
      </c>
      <c r="AJ87" s="335">
        <f>SUM($B$86:AJ86)</f>
        <v>-228455.99566568085</v>
      </c>
      <c r="AK87" s="335">
        <f>SUM($B$86:AK86)</f>
        <v>-228534.86915892459</v>
      </c>
      <c r="AL87" s="335">
        <f>SUM($B$86:AL86)</f>
        <v>-228603.07345764656</v>
      </c>
      <c r="AM87" s="335">
        <f>SUM($B$86:AM86)</f>
        <v>-228662.05178069079</v>
      </c>
      <c r="AN87" s="335">
        <f>SUM($B$86:AN86)</f>
        <v>-228713.05212310745</v>
      </c>
      <c r="AO87" s="335">
        <f>SUM($B$86:AO86)</f>
        <v>-228757.15366401878</v>
      </c>
      <c r="AP87" s="335">
        <f>SUM($B$86:AP86)</f>
        <v>-228795.28960230062</v>
      </c>
    </row>
    <row r="88" spans="1:45" ht="14.25" x14ac:dyDescent="0.2">
      <c r="A88" s="218" t="s">
        <v>297</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c r="AF88" s="337">
        <f>IF((ISERR(IRR($B$83:AF83))),0,IF(IRR($B$83:AF83)&lt;0,0,IRR($B$83:AF83)))</f>
        <v>0</v>
      </c>
      <c r="AG88" s="337">
        <f>IF((ISERR(IRR($B$83:AG83))),0,IF(IRR($B$83:AG83)&lt;0,0,IRR($B$83:AG83)))</f>
        <v>0</v>
      </c>
      <c r="AH88" s="337">
        <f>IF((ISERR(IRR($B$83:AH83))),0,IF(IRR($B$83:AH83)&lt;0,0,IRR($B$83:AH83)))</f>
        <v>0</v>
      </c>
      <c r="AI88" s="337">
        <f>IF((ISERR(IRR($B$83:AI83))),0,IF(IRR($B$83:AI83)&lt;0,0,IRR($B$83:AI83)))</f>
        <v>0</v>
      </c>
      <c r="AJ88" s="337">
        <f>IF((ISERR(IRR($B$83:AJ83))),0,IF(IRR($B$83:AJ83)&lt;0,0,IRR($B$83:AJ83)))</f>
        <v>0</v>
      </c>
      <c r="AK88" s="337">
        <f>IF((ISERR(IRR($B$83:AK83))),0,IF(IRR($B$83:AK83)&lt;0,0,IRR($B$83:AK83)))</f>
        <v>0</v>
      </c>
      <c r="AL88" s="337">
        <f>IF((ISERR(IRR($B$83:AL83))),0,IF(IRR($B$83:AL83)&lt;0,0,IRR($B$83:AL83)))</f>
        <v>0</v>
      </c>
      <c r="AM88" s="337">
        <f>IF((ISERR(IRR($B$83:AM83))),0,IF(IRR($B$83:AM83)&lt;0,0,IRR($B$83:AM83)))</f>
        <v>0</v>
      </c>
      <c r="AN88" s="337">
        <f>IF((ISERR(IRR($B$83:AN83))),0,IF(IRR($B$83:AN83)&lt;0,0,IRR($B$83:AN83)))</f>
        <v>0</v>
      </c>
      <c r="AO88" s="337">
        <f>IF((ISERR(IRR($B$83:AO83))),0,IF(IRR($B$83:AO83)&lt;0,0,IRR($B$83:AO83)))</f>
        <v>0</v>
      </c>
      <c r="AP88" s="337">
        <f>IF((ISERR(IRR($B$83:AP83))),0,IF(IRR($B$83:AP83)&lt;0,0,IRR($B$83:AP83)))</f>
        <v>0</v>
      </c>
    </row>
    <row r="89" spans="1:45" ht="14.25" x14ac:dyDescent="0.2">
      <c r="A89" s="218" t="s">
        <v>296</v>
      </c>
      <c r="B89" s="338">
        <f>IF(AND(B84&gt;0,A84&lt;0),(B74-(B84/(B84-A84))),0)</f>
        <v>0</v>
      </c>
      <c r="C89" s="338">
        <f t="shared" ref="C89:AP89" si="33">IF(AND(C84&gt;0,B84&lt;0),(C74-(C84/(C84-B84))),0)</f>
        <v>0</v>
      </c>
      <c r="D89" s="338">
        <f t="shared" si="33"/>
        <v>0</v>
      </c>
      <c r="E89" s="338">
        <f t="shared" si="33"/>
        <v>0</v>
      </c>
      <c r="F89" s="338">
        <f t="shared" si="33"/>
        <v>0</v>
      </c>
      <c r="G89" s="338">
        <f t="shared" si="33"/>
        <v>0</v>
      </c>
      <c r="H89" s="338">
        <f>IF(AND(H84&gt;0,G84&lt;0),(H74-(H84/(H84-G84))),0)</f>
        <v>0</v>
      </c>
      <c r="I89" s="338">
        <f t="shared" si="33"/>
        <v>0</v>
      </c>
      <c r="J89" s="338">
        <f t="shared" si="33"/>
        <v>0</v>
      </c>
      <c r="K89" s="338">
        <f t="shared" si="33"/>
        <v>0</v>
      </c>
      <c r="L89" s="338">
        <f t="shared" si="33"/>
        <v>0</v>
      </c>
      <c r="M89" s="338">
        <f t="shared" si="33"/>
        <v>0</v>
      </c>
      <c r="N89" s="338">
        <f t="shared" si="33"/>
        <v>0</v>
      </c>
      <c r="O89" s="338">
        <f t="shared" si="33"/>
        <v>0</v>
      </c>
      <c r="P89" s="338">
        <f t="shared" si="33"/>
        <v>0</v>
      </c>
      <c r="Q89" s="338">
        <f t="shared" si="33"/>
        <v>0</v>
      </c>
      <c r="R89" s="338">
        <f t="shared" si="33"/>
        <v>0</v>
      </c>
      <c r="S89" s="338">
        <f t="shared" si="33"/>
        <v>0</v>
      </c>
      <c r="T89" s="338">
        <f t="shared" si="33"/>
        <v>0</v>
      </c>
      <c r="U89" s="338">
        <f t="shared" si="33"/>
        <v>0</v>
      </c>
      <c r="V89" s="338">
        <f t="shared" si="33"/>
        <v>0</v>
      </c>
      <c r="W89" s="338">
        <f t="shared" si="33"/>
        <v>0</v>
      </c>
      <c r="X89" s="338">
        <f t="shared" si="33"/>
        <v>0</v>
      </c>
      <c r="Y89" s="338">
        <f t="shared" si="33"/>
        <v>0</v>
      </c>
      <c r="Z89" s="338">
        <f t="shared" si="33"/>
        <v>0</v>
      </c>
      <c r="AA89" s="338">
        <f t="shared" si="33"/>
        <v>0</v>
      </c>
      <c r="AB89" s="338">
        <f t="shared" si="33"/>
        <v>0</v>
      </c>
      <c r="AC89" s="338">
        <f t="shared" si="33"/>
        <v>0</v>
      </c>
      <c r="AD89" s="338">
        <f t="shared" si="33"/>
        <v>0</v>
      </c>
      <c r="AE89" s="338">
        <f t="shared" si="33"/>
        <v>0</v>
      </c>
      <c r="AF89" s="338">
        <f t="shared" si="33"/>
        <v>0</v>
      </c>
      <c r="AG89" s="338">
        <f t="shared" si="33"/>
        <v>0</v>
      </c>
      <c r="AH89" s="338">
        <f t="shared" si="33"/>
        <v>0</v>
      </c>
      <c r="AI89" s="338">
        <f t="shared" si="33"/>
        <v>0</v>
      </c>
      <c r="AJ89" s="338">
        <f t="shared" si="33"/>
        <v>0</v>
      </c>
      <c r="AK89" s="338">
        <f t="shared" si="33"/>
        <v>0</v>
      </c>
      <c r="AL89" s="338">
        <f t="shared" si="33"/>
        <v>0</v>
      </c>
      <c r="AM89" s="338">
        <f t="shared" si="33"/>
        <v>0</v>
      </c>
      <c r="AN89" s="338">
        <f t="shared" si="33"/>
        <v>0</v>
      </c>
      <c r="AO89" s="338">
        <f t="shared" si="33"/>
        <v>0</v>
      </c>
      <c r="AP89" s="338">
        <f t="shared" si="33"/>
        <v>0</v>
      </c>
    </row>
    <row r="90" spans="1:45" ht="15" thickBot="1" x14ac:dyDescent="0.25">
      <c r="A90" s="228" t="s">
        <v>295</v>
      </c>
      <c r="B90" s="229">
        <f t="shared" ref="B90:AP90" si="34">IF(AND(B87&gt;0,A87&lt;0),(B74-(B87/(B87-A87))),0)</f>
        <v>0</v>
      </c>
      <c r="C90" s="229">
        <f t="shared" si="34"/>
        <v>0</v>
      </c>
      <c r="D90" s="229">
        <f t="shared" si="34"/>
        <v>0</v>
      </c>
      <c r="E90" s="229">
        <f t="shared" si="34"/>
        <v>0</v>
      </c>
      <c r="F90" s="229">
        <f t="shared" si="34"/>
        <v>0</v>
      </c>
      <c r="G90" s="229">
        <f t="shared" si="34"/>
        <v>0</v>
      </c>
      <c r="H90" s="229">
        <f t="shared" si="34"/>
        <v>0</v>
      </c>
      <c r="I90" s="229">
        <f t="shared" si="34"/>
        <v>0</v>
      </c>
      <c r="J90" s="229">
        <f t="shared" si="34"/>
        <v>0</v>
      </c>
      <c r="K90" s="229">
        <f t="shared" si="34"/>
        <v>0</v>
      </c>
      <c r="L90" s="229">
        <f t="shared" si="34"/>
        <v>0</v>
      </c>
      <c r="M90" s="229">
        <f t="shared" si="34"/>
        <v>0</v>
      </c>
      <c r="N90" s="229">
        <f t="shared" si="34"/>
        <v>0</v>
      </c>
      <c r="O90" s="229">
        <f t="shared" si="34"/>
        <v>0</v>
      </c>
      <c r="P90" s="229">
        <f t="shared" si="34"/>
        <v>0</v>
      </c>
      <c r="Q90" s="229">
        <f t="shared" si="34"/>
        <v>0</v>
      </c>
      <c r="R90" s="229">
        <f t="shared" si="34"/>
        <v>0</v>
      </c>
      <c r="S90" s="229">
        <f t="shared" si="34"/>
        <v>0</v>
      </c>
      <c r="T90" s="229">
        <f t="shared" si="34"/>
        <v>0</v>
      </c>
      <c r="U90" s="229">
        <f t="shared" si="34"/>
        <v>0</v>
      </c>
      <c r="V90" s="229">
        <f t="shared" si="34"/>
        <v>0</v>
      </c>
      <c r="W90" s="229">
        <f t="shared" si="34"/>
        <v>0</v>
      </c>
      <c r="X90" s="229">
        <f t="shared" si="34"/>
        <v>0</v>
      </c>
      <c r="Y90" s="229">
        <f t="shared" si="34"/>
        <v>0</v>
      </c>
      <c r="Z90" s="229">
        <f t="shared" si="34"/>
        <v>0</v>
      </c>
      <c r="AA90" s="229">
        <f t="shared" si="34"/>
        <v>0</v>
      </c>
      <c r="AB90" s="229">
        <f t="shared" si="34"/>
        <v>0</v>
      </c>
      <c r="AC90" s="229">
        <f t="shared" si="34"/>
        <v>0</v>
      </c>
      <c r="AD90" s="229">
        <f t="shared" si="34"/>
        <v>0</v>
      </c>
      <c r="AE90" s="229">
        <f t="shared" si="34"/>
        <v>0</v>
      </c>
      <c r="AF90" s="229">
        <f t="shared" si="34"/>
        <v>0</v>
      </c>
      <c r="AG90" s="229">
        <f t="shared" si="34"/>
        <v>0</v>
      </c>
      <c r="AH90" s="229">
        <f t="shared" si="34"/>
        <v>0</v>
      </c>
      <c r="AI90" s="229">
        <f t="shared" si="34"/>
        <v>0</v>
      </c>
      <c r="AJ90" s="229">
        <f t="shared" si="34"/>
        <v>0</v>
      </c>
      <c r="AK90" s="229">
        <f t="shared" si="34"/>
        <v>0</v>
      </c>
      <c r="AL90" s="229">
        <f t="shared" si="34"/>
        <v>0</v>
      </c>
      <c r="AM90" s="229">
        <f t="shared" si="34"/>
        <v>0</v>
      </c>
      <c r="AN90" s="229">
        <f t="shared" si="34"/>
        <v>0</v>
      </c>
      <c r="AO90" s="229">
        <f t="shared" si="34"/>
        <v>0</v>
      </c>
      <c r="AP90" s="229">
        <f t="shared" si="34"/>
        <v>0</v>
      </c>
    </row>
    <row r="91" spans="1:45" s="206" customFormat="1" x14ac:dyDescent="0.2">
      <c r="A91" s="186"/>
      <c r="B91" s="230">
        <v>2020</v>
      </c>
      <c r="C91" s="230">
        <f>B91+1</f>
        <v>2021</v>
      </c>
      <c r="D91" s="171">
        <f t="shared" ref="D91:AP91" si="35">C91+1</f>
        <v>2022</v>
      </c>
      <c r="E91" s="171">
        <f t="shared" si="35"/>
        <v>2023</v>
      </c>
      <c r="F91" s="171">
        <f t="shared" si="35"/>
        <v>2024</v>
      </c>
      <c r="G91" s="171">
        <f t="shared" si="35"/>
        <v>2025</v>
      </c>
      <c r="H91" s="171">
        <f t="shared" si="35"/>
        <v>2026</v>
      </c>
      <c r="I91" s="171">
        <f t="shared" si="35"/>
        <v>2027</v>
      </c>
      <c r="J91" s="171">
        <f t="shared" si="35"/>
        <v>2028</v>
      </c>
      <c r="K91" s="171">
        <f t="shared" si="35"/>
        <v>2029</v>
      </c>
      <c r="L91" s="171">
        <f t="shared" si="35"/>
        <v>2030</v>
      </c>
      <c r="M91" s="171">
        <f t="shared" si="35"/>
        <v>2031</v>
      </c>
      <c r="N91" s="171">
        <f t="shared" si="35"/>
        <v>2032</v>
      </c>
      <c r="O91" s="171">
        <f t="shared" si="35"/>
        <v>2033</v>
      </c>
      <c r="P91" s="171">
        <f t="shared" si="35"/>
        <v>2034</v>
      </c>
      <c r="Q91" s="171">
        <f t="shared" si="35"/>
        <v>2035</v>
      </c>
      <c r="R91" s="171">
        <f t="shared" si="35"/>
        <v>2036</v>
      </c>
      <c r="S91" s="171">
        <f t="shared" si="35"/>
        <v>2037</v>
      </c>
      <c r="T91" s="171">
        <f t="shared" si="35"/>
        <v>2038</v>
      </c>
      <c r="U91" s="171">
        <f t="shared" si="35"/>
        <v>2039</v>
      </c>
      <c r="V91" s="171">
        <f t="shared" si="35"/>
        <v>2040</v>
      </c>
      <c r="W91" s="171">
        <f t="shared" si="35"/>
        <v>2041</v>
      </c>
      <c r="X91" s="171">
        <f t="shared" si="35"/>
        <v>2042</v>
      </c>
      <c r="Y91" s="171">
        <f t="shared" si="35"/>
        <v>2043</v>
      </c>
      <c r="Z91" s="171">
        <f t="shared" si="35"/>
        <v>2044</v>
      </c>
      <c r="AA91" s="171">
        <f t="shared" si="35"/>
        <v>2045</v>
      </c>
      <c r="AB91" s="171">
        <f t="shared" si="35"/>
        <v>2046</v>
      </c>
      <c r="AC91" s="171">
        <f t="shared" si="35"/>
        <v>2047</v>
      </c>
      <c r="AD91" s="171">
        <f t="shared" si="35"/>
        <v>2048</v>
      </c>
      <c r="AE91" s="171">
        <f t="shared" si="35"/>
        <v>2049</v>
      </c>
      <c r="AF91" s="171">
        <f t="shared" si="35"/>
        <v>2050</v>
      </c>
      <c r="AG91" s="171">
        <f t="shared" si="35"/>
        <v>2051</v>
      </c>
      <c r="AH91" s="171">
        <f t="shared" si="35"/>
        <v>2052</v>
      </c>
      <c r="AI91" s="171">
        <f t="shared" si="35"/>
        <v>2053</v>
      </c>
      <c r="AJ91" s="171">
        <f t="shared" si="35"/>
        <v>2054</v>
      </c>
      <c r="AK91" s="171">
        <f t="shared" si="35"/>
        <v>2055</v>
      </c>
      <c r="AL91" s="171">
        <f t="shared" si="35"/>
        <v>2056</v>
      </c>
      <c r="AM91" s="171">
        <f t="shared" si="35"/>
        <v>2057</v>
      </c>
      <c r="AN91" s="171">
        <f t="shared" si="35"/>
        <v>2058</v>
      </c>
      <c r="AO91" s="171">
        <f t="shared" si="35"/>
        <v>2059</v>
      </c>
      <c r="AP91" s="171">
        <f t="shared" si="35"/>
        <v>2060</v>
      </c>
      <c r="AQ91" s="172"/>
      <c r="AR91" s="172"/>
      <c r="AS91" s="172"/>
    </row>
    <row r="92" spans="1:45" ht="15.6" customHeight="1" x14ac:dyDescent="0.2">
      <c r="A92" s="231" t="s">
        <v>294</v>
      </c>
      <c r="B92" s="116"/>
      <c r="C92" s="116"/>
      <c r="D92" s="116"/>
      <c r="E92" s="116"/>
      <c r="F92" s="116"/>
      <c r="G92" s="116"/>
      <c r="H92" s="116"/>
      <c r="I92" s="116"/>
      <c r="J92" s="116"/>
      <c r="K92" s="116"/>
      <c r="L92" s="232">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80" t="s">
        <v>542</v>
      </c>
      <c r="B97" s="480"/>
      <c r="C97" s="480"/>
      <c r="D97" s="480"/>
      <c r="E97" s="480"/>
      <c r="F97" s="480"/>
      <c r="G97" s="480"/>
      <c r="H97" s="480"/>
      <c r="I97" s="480"/>
      <c r="J97" s="480"/>
      <c r="K97" s="480"/>
      <c r="L97" s="480"/>
      <c r="M97" s="221"/>
      <c r="N97" s="221"/>
      <c r="O97" s="221"/>
      <c r="P97" s="221"/>
      <c r="Q97" s="221"/>
      <c r="R97" s="221"/>
      <c r="S97" s="221"/>
      <c r="T97" s="221"/>
      <c r="U97" s="221"/>
      <c r="V97" s="221"/>
      <c r="W97" s="221"/>
      <c r="X97" s="221"/>
      <c r="Y97" s="221"/>
      <c r="Z97" s="221"/>
      <c r="AA97" s="221"/>
      <c r="AB97" s="221"/>
      <c r="AC97" s="221"/>
      <c r="AD97" s="221"/>
      <c r="AE97" s="221"/>
      <c r="AF97" s="221"/>
      <c r="AG97" s="221"/>
      <c r="AH97" s="221"/>
      <c r="AI97" s="221"/>
      <c r="AJ97" s="221"/>
      <c r="AK97" s="221"/>
      <c r="AL97" s="221"/>
      <c r="AM97" s="221"/>
      <c r="AN97" s="221"/>
      <c r="AO97" s="221"/>
      <c r="AP97" s="221"/>
    </row>
    <row r="98" spans="1:71" ht="16.5" thickBot="1" x14ac:dyDescent="0.25">
      <c r="C98" s="233"/>
    </row>
    <row r="99" spans="1:71" s="239" customFormat="1" ht="16.5" thickTop="1" x14ac:dyDescent="0.2">
      <c r="A99" s="234" t="s">
        <v>543</v>
      </c>
      <c r="B99" s="235">
        <f>B81*B85</f>
        <v>-950879.85020271514</v>
      </c>
      <c r="C99" s="236">
        <f>C81*C85</f>
        <v>0</v>
      </c>
      <c r="D99" s="236">
        <f t="shared" ref="D99:AP99" si="36">D81*D85</f>
        <v>0</v>
      </c>
      <c r="E99" s="236">
        <f t="shared" si="36"/>
        <v>0</v>
      </c>
      <c r="F99" s="236">
        <f t="shared" si="36"/>
        <v>0</v>
      </c>
      <c r="G99" s="236">
        <f t="shared" si="36"/>
        <v>0</v>
      </c>
      <c r="H99" s="236">
        <f t="shared" si="36"/>
        <v>0</v>
      </c>
      <c r="I99" s="236">
        <f t="shared" si="36"/>
        <v>0</v>
      </c>
      <c r="J99" s="236">
        <f>J81*J85</f>
        <v>0</v>
      </c>
      <c r="K99" s="236">
        <f t="shared" si="36"/>
        <v>0</v>
      </c>
      <c r="L99" s="236">
        <f>L81*L85</f>
        <v>0</v>
      </c>
      <c r="M99" s="236">
        <f t="shared" si="36"/>
        <v>0</v>
      </c>
      <c r="N99" s="236">
        <f t="shared" si="36"/>
        <v>0</v>
      </c>
      <c r="O99" s="236">
        <f t="shared" si="36"/>
        <v>0</v>
      </c>
      <c r="P99" s="236">
        <f t="shared" si="36"/>
        <v>0</v>
      </c>
      <c r="Q99" s="236">
        <f t="shared" si="36"/>
        <v>0</v>
      </c>
      <c r="R99" s="236">
        <f t="shared" si="36"/>
        <v>0</v>
      </c>
      <c r="S99" s="236">
        <f t="shared" si="36"/>
        <v>0</v>
      </c>
      <c r="T99" s="236">
        <f t="shared" si="36"/>
        <v>0</v>
      </c>
      <c r="U99" s="236">
        <f t="shared" si="36"/>
        <v>0</v>
      </c>
      <c r="V99" s="236">
        <f t="shared" si="36"/>
        <v>0</v>
      </c>
      <c r="W99" s="236">
        <f t="shared" si="36"/>
        <v>0</v>
      </c>
      <c r="X99" s="236">
        <f t="shared" si="36"/>
        <v>0</v>
      </c>
      <c r="Y99" s="236">
        <f t="shared" si="36"/>
        <v>0</v>
      </c>
      <c r="Z99" s="236">
        <f t="shared" si="36"/>
        <v>0</v>
      </c>
      <c r="AA99" s="236">
        <f t="shared" si="36"/>
        <v>0</v>
      </c>
      <c r="AB99" s="236">
        <f t="shared" si="36"/>
        <v>0</v>
      </c>
      <c r="AC99" s="236">
        <f t="shared" si="36"/>
        <v>0</v>
      </c>
      <c r="AD99" s="236">
        <f t="shared" si="36"/>
        <v>0</v>
      </c>
      <c r="AE99" s="236">
        <f t="shared" si="36"/>
        <v>0</v>
      </c>
      <c r="AF99" s="236">
        <f t="shared" si="36"/>
        <v>0</v>
      </c>
      <c r="AG99" s="236">
        <f t="shared" si="36"/>
        <v>0</v>
      </c>
      <c r="AH99" s="236">
        <f t="shared" si="36"/>
        <v>0</v>
      </c>
      <c r="AI99" s="236">
        <f t="shared" si="36"/>
        <v>0</v>
      </c>
      <c r="AJ99" s="236">
        <f t="shared" si="36"/>
        <v>0</v>
      </c>
      <c r="AK99" s="236">
        <f t="shared" si="36"/>
        <v>0</v>
      </c>
      <c r="AL99" s="236">
        <f t="shared" si="36"/>
        <v>0</v>
      </c>
      <c r="AM99" s="236">
        <f t="shared" si="36"/>
        <v>0</v>
      </c>
      <c r="AN99" s="236">
        <f t="shared" si="36"/>
        <v>0</v>
      </c>
      <c r="AO99" s="236">
        <f t="shared" si="36"/>
        <v>0</v>
      </c>
      <c r="AP99" s="236">
        <f t="shared" si="36"/>
        <v>0</v>
      </c>
      <c r="AQ99" s="237">
        <f>SUM(B99:AP99)</f>
        <v>-950879.85020271514</v>
      </c>
      <c r="AR99" s="238"/>
      <c r="AS99" s="238"/>
    </row>
    <row r="100" spans="1:71" s="242" customFormat="1" x14ac:dyDescent="0.2">
      <c r="A100" s="240">
        <f>AQ99</f>
        <v>-950879.85020271514</v>
      </c>
      <c r="B100" s="241"/>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72"/>
      <c r="AR100" s="172"/>
      <c r="AS100" s="172"/>
    </row>
    <row r="101" spans="1:71" s="242" customFormat="1" x14ac:dyDescent="0.2">
      <c r="A101" s="240">
        <f>AP87</f>
        <v>-228795.28960230062</v>
      </c>
      <c r="B101" s="241"/>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72"/>
      <c r="AR101" s="172"/>
      <c r="AS101" s="172"/>
    </row>
    <row r="102" spans="1:71" s="242" customFormat="1" x14ac:dyDescent="0.2">
      <c r="A102" s="243" t="s">
        <v>544</v>
      </c>
      <c r="B102" s="339">
        <f>(A101+-A100)/-A100</f>
        <v>0.75938569993514482</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72"/>
      <c r="AR102" s="172"/>
      <c r="AS102" s="172"/>
    </row>
    <row r="103" spans="1:71" s="242" customFormat="1" x14ac:dyDescent="0.2">
      <c r="A103" s="244"/>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72"/>
      <c r="AR103" s="172"/>
      <c r="AS103" s="172"/>
    </row>
    <row r="104" spans="1:71" ht="12.75" x14ac:dyDescent="0.2">
      <c r="A104" s="340" t="s">
        <v>545</v>
      </c>
      <c r="B104" s="340" t="s">
        <v>546</v>
      </c>
      <c r="C104" s="340" t="s">
        <v>547</v>
      </c>
      <c r="D104" s="340" t="s">
        <v>548</v>
      </c>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c r="AR104" s="246"/>
      <c r="AS104" s="246"/>
      <c r="AT104" s="245"/>
      <c r="AU104" s="245"/>
      <c r="AV104" s="245"/>
      <c r="AW104" s="245"/>
      <c r="AX104" s="245"/>
      <c r="AY104" s="245"/>
      <c r="AZ104" s="245"/>
      <c r="BA104" s="245"/>
      <c r="BB104" s="245"/>
      <c r="BC104" s="245"/>
      <c r="BD104" s="245"/>
      <c r="BE104" s="245"/>
      <c r="BF104" s="245"/>
      <c r="BG104" s="245"/>
      <c r="BH104" s="245"/>
      <c r="BI104" s="245"/>
      <c r="BJ104" s="245"/>
      <c r="BK104" s="245"/>
      <c r="BL104" s="245"/>
      <c r="BM104" s="245"/>
      <c r="BN104" s="245"/>
      <c r="BO104" s="245"/>
      <c r="BP104" s="245"/>
      <c r="BQ104" s="245"/>
      <c r="BR104" s="245"/>
      <c r="BS104" s="245"/>
    </row>
    <row r="105" spans="1:71" ht="12.75" x14ac:dyDescent="0.2">
      <c r="A105" s="341">
        <f>G30/1000/1000</f>
        <v>-0.21641745900990686</v>
      </c>
      <c r="B105" s="342">
        <f>L88</f>
        <v>0</v>
      </c>
      <c r="C105" s="343" t="str">
        <f>G28</f>
        <v>не окупается</v>
      </c>
      <c r="D105" s="343" t="str">
        <f>G29</f>
        <v>не окупается</v>
      </c>
      <c r="E105" s="247" t="s">
        <v>549</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x14ac:dyDescent="0.2">
      <c r="A106" s="248"/>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45"/>
      <c r="AH106" s="245"/>
      <c r="AI106" s="245"/>
      <c r="AJ106" s="245"/>
      <c r="AK106" s="245"/>
      <c r="AL106" s="245"/>
      <c r="AM106" s="245"/>
      <c r="AN106" s="245"/>
      <c r="AO106" s="245"/>
      <c r="AP106" s="245"/>
      <c r="AQ106" s="246"/>
      <c r="AR106" s="246"/>
      <c r="AS106" s="246"/>
      <c r="AT106" s="245"/>
      <c r="AU106" s="245"/>
      <c r="AV106" s="245"/>
      <c r="AW106" s="245"/>
      <c r="AX106" s="245"/>
      <c r="AY106" s="245"/>
      <c r="AZ106" s="245"/>
      <c r="BA106" s="245"/>
      <c r="BB106" s="245"/>
      <c r="BC106" s="245"/>
      <c r="BD106" s="245"/>
      <c r="BE106" s="245"/>
      <c r="BF106" s="245"/>
      <c r="BG106" s="245"/>
      <c r="BH106" s="245"/>
      <c r="BI106" s="245"/>
      <c r="BJ106" s="245"/>
      <c r="BK106" s="245"/>
      <c r="BL106" s="245"/>
      <c r="BM106" s="245"/>
      <c r="BN106" s="245"/>
      <c r="BO106" s="245"/>
      <c r="BP106" s="245"/>
      <c r="BQ106" s="245"/>
      <c r="BR106" s="245"/>
      <c r="BS106" s="245"/>
    </row>
    <row r="107" spans="1:71" ht="12.75" x14ac:dyDescent="0.2">
      <c r="A107" s="344"/>
      <c r="B107" s="345">
        <v>2016</v>
      </c>
      <c r="C107" s="345">
        <v>2017</v>
      </c>
      <c r="D107" s="346">
        <f t="shared" ref="D107:AP107" si="37">C107+1</f>
        <v>2018</v>
      </c>
      <c r="E107" s="346">
        <f t="shared" si="37"/>
        <v>2019</v>
      </c>
      <c r="F107" s="346">
        <f t="shared" si="37"/>
        <v>2020</v>
      </c>
      <c r="G107" s="346">
        <f t="shared" si="37"/>
        <v>2021</v>
      </c>
      <c r="H107" s="346">
        <f t="shared" si="37"/>
        <v>2022</v>
      </c>
      <c r="I107" s="346">
        <f t="shared" si="37"/>
        <v>2023</v>
      </c>
      <c r="J107" s="346">
        <f t="shared" si="37"/>
        <v>2024</v>
      </c>
      <c r="K107" s="346">
        <f t="shared" si="37"/>
        <v>2025</v>
      </c>
      <c r="L107" s="346">
        <f t="shared" si="37"/>
        <v>2026</v>
      </c>
      <c r="M107" s="346">
        <f t="shared" si="37"/>
        <v>2027</v>
      </c>
      <c r="N107" s="346">
        <f t="shared" si="37"/>
        <v>2028</v>
      </c>
      <c r="O107" s="346">
        <f t="shared" si="37"/>
        <v>2029</v>
      </c>
      <c r="P107" s="346">
        <f t="shared" si="37"/>
        <v>2030</v>
      </c>
      <c r="Q107" s="346">
        <f t="shared" si="37"/>
        <v>2031</v>
      </c>
      <c r="R107" s="346">
        <f t="shared" si="37"/>
        <v>2032</v>
      </c>
      <c r="S107" s="346">
        <f t="shared" si="37"/>
        <v>2033</v>
      </c>
      <c r="T107" s="346">
        <f t="shared" si="37"/>
        <v>2034</v>
      </c>
      <c r="U107" s="346">
        <f t="shared" si="37"/>
        <v>2035</v>
      </c>
      <c r="V107" s="346">
        <f t="shared" si="37"/>
        <v>2036</v>
      </c>
      <c r="W107" s="346">
        <f t="shared" si="37"/>
        <v>2037</v>
      </c>
      <c r="X107" s="346">
        <f t="shared" si="37"/>
        <v>2038</v>
      </c>
      <c r="Y107" s="346">
        <f t="shared" si="37"/>
        <v>2039</v>
      </c>
      <c r="Z107" s="346">
        <f t="shared" si="37"/>
        <v>2040</v>
      </c>
      <c r="AA107" s="346">
        <f t="shared" si="37"/>
        <v>2041</v>
      </c>
      <c r="AB107" s="346">
        <f t="shared" si="37"/>
        <v>2042</v>
      </c>
      <c r="AC107" s="346">
        <f t="shared" si="37"/>
        <v>2043</v>
      </c>
      <c r="AD107" s="346">
        <f t="shared" si="37"/>
        <v>2044</v>
      </c>
      <c r="AE107" s="346">
        <f t="shared" si="37"/>
        <v>2045</v>
      </c>
      <c r="AF107" s="346">
        <f t="shared" si="37"/>
        <v>2046</v>
      </c>
      <c r="AG107" s="346">
        <f t="shared" si="37"/>
        <v>2047</v>
      </c>
      <c r="AH107" s="346">
        <f t="shared" si="37"/>
        <v>2048</v>
      </c>
      <c r="AI107" s="346">
        <f t="shared" si="37"/>
        <v>2049</v>
      </c>
      <c r="AJ107" s="346">
        <f t="shared" si="37"/>
        <v>2050</v>
      </c>
      <c r="AK107" s="346">
        <f t="shared" si="37"/>
        <v>2051</v>
      </c>
      <c r="AL107" s="346">
        <f t="shared" si="37"/>
        <v>2052</v>
      </c>
      <c r="AM107" s="346">
        <f t="shared" si="37"/>
        <v>2053</v>
      </c>
      <c r="AN107" s="346">
        <f t="shared" si="37"/>
        <v>2054</v>
      </c>
      <c r="AO107" s="346">
        <f t="shared" si="37"/>
        <v>2055</v>
      </c>
      <c r="AP107" s="346">
        <f t="shared" si="37"/>
        <v>2056</v>
      </c>
      <c r="AT107" s="242"/>
      <c r="AU107" s="242"/>
      <c r="AV107" s="242"/>
      <c r="AW107" s="242"/>
      <c r="AX107" s="242"/>
      <c r="AY107" s="242"/>
      <c r="AZ107" s="242"/>
      <c r="BA107" s="242"/>
      <c r="BB107" s="242"/>
      <c r="BC107" s="242"/>
      <c r="BD107" s="242"/>
      <c r="BE107" s="242"/>
      <c r="BF107" s="242"/>
      <c r="BG107" s="242"/>
    </row>
    <row r="108" spans="1:71" ht="12.75" x14ac:dyDescent="0.2">
      <c r="A108" s="347" t="s">
        <v>550</v>
      </c>
      <c r="B108" s="348"/>
      <c r="C108" s="348">
        <f>C109*$B$111*$B$112*1000</f>
        <v>0</v>
      </c>
      <c r="D108" s="348">
        <f t="shared" ref="D108:AP108" si="38">D109*$B$111*$B$112*1000</f>
        <v>0</v>
      </c>
      <c r="E108" s="348">
        <f>E109*$B$111*$B$112*1000</f>
        <v>0</v>
      </c>
      <c r="F108" s="348">
        <f t="shared" si="38"/>
        <v>0</v>
      </c>
      <c r="G108" s="348">
        <f t="shared" si="38"/>
        <v>0</v>
      </c>
      <c r="H108" s="348">
        <f t="shared" si="38"/>
        <v>0</v>
      </c>
      <c r="I108" s="348">
        <f t="shared" si="38"/>
        <v>0</v>
      </c>
      <c r="J108" s="348">
        <f t="shared" si="38"/>
        <v>0</v>
      </c>
      <c r="K108" s="348">
        <f t="shared" si="38"/>
        <v>0</v>
      </c>
      <c r="L108" s="348">
        <f t="shared" si="38"/>
        <v>0</v>
      </c>
      <c r="M108" s="348">
        <f t="shared" si="38"/>
        <v>0</v>
      </c>
      <c r="N108" s="348">
        <f t="shared" si="38"/>
        <v>0</v>
      </c>
      <c r="O108" s="348">
        <f t="shared" si="38"/>
        <v>0</v>
      </c>
      <c r="P108" s="348">
        <f t="shared" si="38"/>
        <v>0</v>
      </c>
      <c r="Q108" s="348">
        <f t="shared" si="38"/>
        <v>0</v>
      </c>
      <c r="R108" s="348">
        <f t="shared" si="38"/>
        <v>0</v>
      </c>
      <c r="S108" s="348">
        <f t="shared" si="38"/>
        <v>0</v>
      </c>
      <c r="T108" s="348">
        <f t="shared" si="38"/>
        <v>0</v>
      </c>
      <c r="U108" s="348">
        <f t="shared" si="38"/>
        <v>0</v>
      </c>
      <c r="V108" s="348">
        <f t="shared" si="38"/>
        <v>0</v>
      </c>
      <c r="W108" s="348">
        <f t="shared" si="38"/>
        <v>0</v>
      </c>
      <c r="X108" s="348">
        <f t="shared" si="38"/>
        <v>0</v>
      </c>
      <c r="Y108" s="348">
        <f t="shared" si="38"/>
        <v>0</v>
      </c>
      <c r="Z108" s="348">
        <f t="shared" si="38"/>
        <v>0</v>
      </c>
      <c r="AA108" s="348">
        <f t="shared" si="38"/>
        <v>0</v>
      </c>
      <c r="AB108" s="348">
        <f t="shared" si="38"/>
        <v>0</v>
      </c>
      <c r="AC108" s="348">
        <f t="shared" si="38"/>
        <v>0</v>
      </c>
      <c r="AD108" s="348">
        <f t="shared" si="38"/>
        <v>0</v>
      </c>
      <c r="AE108" s="348">
        <f t="shared" si="38"/>
        <v>0</v>
      </c>
      <c r="AF108" s="348">
        <f t="shared" si="38"/>
        <v>0</v>
      </c>
      <c r="AG108" s="348">
        <f t="shared" si="38"/>
        <v>0</v>
      </c>
      <c r="AH108" s="348">
        <f t="shared" si="38"/>
        <v>0</v>
      </c>
      <c r="AI108" s="348">
        <f t="shared" si="38"/>
        <v>0</v>
      </c>
      <c r="AJ108" s="348">
        <f t="shared" si="38"/>
        <v>0</v>
      </c>
      <c r="AK108" s="348">
        <f t="shared" si="38"/>
        <v>0</v>
      </c>
      <c r="AL108" s="348">
        <f t="shared" si="38"/>
        <v>0</v>
      </c>
      <c r="AM108" s="348">
        <f t="shared" si="38"/>
        <v>0</v>
      </c>
      <c r="AN108" s="348">
        <f t="shared" si="38"/>
        <v>0</v>
      </c>
      <c r="AO108" s="348">
        <f t="shared" si="38"/>
        <v>0</v>
      </c>
      <c r="AP108" s="348">
        <f t="shared" si="38"/>
        <v>0</v>
      </c>
      <c r="AT108" s="242"/>
      <c r="AU108" s="242"/>
      <c r="AV108" s="242"/>
      <c r="AW108" s="242"/>
      <c r="AX108" s="242"/>
      <c r="AY108" s="242"/>
      <c r="AZ108" s="242"/>
      <c r="BA108" s="242"/>
      <c r="BB108" s="242"/>
      <c r="BC108" s="242"/>
      <c r="BD108" s="242"/>
      <c r="BE108" s="242"/>
      <c r="BF108" s="242"/>
      <c r="BG108" s="242"/>
    </row>
    <row r="109" spans="1:71" ht="12.75" x14ac:dyDescent="0.2">
      <c r="A109" s="347" t="s">
        <v>551</v>
      </c>
      <c r="B109" s="346"/>
      <c r="C109" s="346">
        <f>B109+$I$120*C113</f>
        <v>0</v>
      </c>
      <c r="D109" s="346">
        <f>C109+$I$120*D113</f>
        <v>0</v>
      </c>
      <c r="E109" s="346">
        <f t="shared" ref="E109:AP109" si="39">D109+$I$120*E113</f>
        <v>0</v>
      </c>
      <c r="F109" s="346">
        <f t="shared" si="39"/>
        <v>0</v>
      </c>
      <c r="G109" s="346">
        <f t="shared" si="39"/>
        <v>0</v>
      </c>
      <c r="H109" s="346">
        <f t="shared" si="39"/>
        <v>0</v>
      </c>
      <c r="I109" s="346">
        <f t="shared" si="39"/>
        <v>0</v>
      </c>
      <c r="J109" s="346">
        <f t="shared" si="39"/>
        <v>0</v>
      </c>
      <c r="K109" s="346">
        <f t="shared" si="39"/>
        <v>0</v>
      </c>
      <c r="L109" s="346">
        <f t="shared" si="39"/>
        <v>0</v>
      </c>
      <c r="M109" s="346">
        <f t="shared" si="39"/>
        <v>0</v>
      </c>
      <c r="N109" s="346">
        <f t="shared" si="39"/>
        <v>0</v>
      </c>
      <c r="O109" s="346">
        <f t="shared" si="39"/>
        <v>0</v>
      </c>
      <c r="P109" s="346">
        <f t="shared" si="39"/>
        <v>0</v>
      </c>
      <c r="Q109" s="346">
        <f t="shared" si="39"/>
        <v>0</v>
      </c>
      <c r="R109" s="346">
        <f t="shared" si="39"/>
        <v>0</v>
      </c>
      <c r="S109" s="346">
        <f t="shared" si="39"/>
        <v>0</v>
      </c>
      <c r="T109" s="346">
        <f t="shared" si="39"/>
        <v>0</v>
      </c>
      <c r="U109" s="346">
        <f t="shared" si="39"/>
        <v>0</v>
      </c>
      <c r="V109" s="346">
        <f t="shared" si="39"/>
        <v>0</v>
      </c>
      <c r="W109" s="346">
        <f t="shared" si="39"/>
        <v>0</v>
      </c>
      <c r="X109" s="346">
        <f t="shared" si="39"/>
        <v>0</v>
      </c>
      <c r="Y109" s="346">
        <f t="shared" si="39"/>
        <v>0</v>
      </c>
      <c r="Z109" s="346">
        <f t="shared" si="39"/>
        <v>0</v>
      </c>
      <c r="AA109" s="346">
        <f t="shared" si="39"/>
        <v>0</v>
      </c>
      <c r="AB109" s="346">
        <f t="shared" si="39"/>
        <v>0</v>
      </c>
      <c r="AC109" s="346">
        <f t="shared" si="39"/>
        <v>0</v>
      </c>
      <c r="AD109" s="346">
        <f t="shared" si="39"/>
        <v>0</v>
      </c>
      <c r="AE109" s="346">
        <f t="shared" si="39"/>
        <v>0</v>
      </c>
      <c r="AF109" s="346">
        <f t="shared" si="39"/>
        <v>0</v>
      </c>
      <c r="AG109" s="346">
        <f t="shared" si="39"/>
        <v>0</v>
      </c>
      <c r="AH109" s="346">
        <f t="shared" si="39"/>
        <v>0</v>
      </c>
      <c r="AI109" s="346">
        <f t="shared" si="39"/>
        <v>0</v>
      </c>
      <c r="AJ109" s="346">
        <f t="shared" si="39"/>
        <v>0</v>
      </c>
      <c r="AK109" s="346">
        <f t="shared" si="39"/>
        <v>0</v>
      </c>
      <c r="AL109" s="346">
        <f t="shared" si="39"/>
        <v>0</v>
      </c>
      <c r="AM109" s="346">
        <f t="shared" si="39"/>
        <v>0</v>
      </c>
      <c r="AN109" s="346">
        <f t="shared" si="39"/>
        <v>0</v>
      </c>
      <c r="AO109" s="346">
        <f t="shared" si="39"/>
        <v>0</v>
      </c>
      <c r="AP109" s="346">
        <f t="shared" si="39"/>
        <v>0</v>
      </c>
      <c r="AT109" s="242"/>
      <c r="AU109" s="242"/>
      <c r="AV109" s="242"/>
      <c r="AW109" s="242"/>
      <c r="AX109" s="242"/>
      <c r="AY109" s="242"/>
      <c r="AZ109" s="242"/>
      <c r="BA109" s="242"/>
      <c r="BB109" s="242"/>
      <c r="BC109" s="242"/>
      <c r="BD109" s="242"/>
      <c r="BE109" s="242"/>
      <c r="BF109" s="242"/>
      <c r="BG109" s="242"/>
    </row>
    <row r="110" spans="1:71" ht="12.75" x14ac:dyDescent="0.2">
      <c r="A110" s="347" t="s">
        <v>552</v>
      </c>
      <c r="B110" s="349">
        <v>0.93</v>
      </c>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c r="AE110" s="346"/>
      <c r="AF110" s="346"/>
      <c r="AG110" s="346"/>
      <c r="AH110" s="346"/>
      <c r="AI110" s="346"/>
      <c r="AJ110" s="346"/>
      <c r="AK110" s="346"/>
      <c r="AL110" s="346"/>
      <c r="AM110" s="346"/>
      <c r="AN110" s="346"/>
      <c r="AO110" s="346"/>
      <c r="AP110" s="346"/>
      <c r="AT110" s="242"/>
      <c r="AU110" s="242"/>
      <c r="AV110" s="242"/>
      <c r="AW110" s="242"/>
      <c r="AX110" s="242"/>
      <c r="AY110" s="242"/>
      <c r="AZ110" s="242"/>
      <c r="BA110" s="242"/>
      <c r="BB110" s="242"/>
      <c r="BC110" s="242"/>
      <c r="BD110" s="242"/>
      <c r="BE110" s="242"/>
      <c r="BF110" s="242"/>
      <c r="BG110" s="242"/>
    </row>
    <row r="111" spans="1:71" ht="12.75" x14ac:dyDescent="0.2">
      <c r="A111" s="347" t="s">
        <v>553</v>
      </c>
      <c r="B111" s="349">
        <v>4380</v>
      </c>
      <c r="C111" s="346"/>
      <c r="D111" s="346"/>
      <c r="E111" s="346"/>
      <c r="F111" s="346"/>
      <c r="G111" s="346"/>
      <c r="H111" s="346"/>
      <c r="I111" s="346"/>
      <c r="J111" s="346"/>
      <c r="K111" s="346"/>
      <c r="L111" s="346"/>
      <c r="M111" s="346"/>
      <c r="N111" s="346"/>
      <c r="O111" s="346"/>
      <c r="P111" s="346"/>
      <c r="Q111" s="346"/>
      <c r="R111" s="346"/>
      <c r="S111" s="346"/>
      <c r="T111" s="346"/>
      <c r="U111" s="346"/>
      <c r="V111" s="346"/>
      <c r="W111" s="346"/>
      <c r="X111" s="346"/>
      <c r="Y111" s="346"/>
      <c r="Z111" s="346"/>
      <c r="AA111" s="346"/>
      <c r="AB111" s="346"/>
      <c r="AC111" s="346"/>
      <c r="AD111" s="346"/>
      <c r="AE111" s="346"/>
      <c r="AF111" s="346"/>
      <c r="AG111" s="346"/>
      <c r="AH111" s="346"/>
      <c r="AI111" s="346"/>
      <c r="AJ111" s="346"/>
      <c r="AK111" s="346"/>
      <c r="AL111" s="346"/>
      <c r="AM111" s="346"/>
      <c r="AN111" s="346"/>
      <c r="AO111" s="346"/>
      <c r="AP111" s="346"/>
      <c r="AT111" s="242"/>
      <c r="AU111" s="242"/>
      <c r="AV111" s="242"/>
      <c r="AW111" s="242"/>
      <c r="AX111" s="242"/>
      <c r="AY111" s="242"/>
      <c r="AZ111" s="242"/>
      <c r="BA111" s="242"/>
      <c r="BB111" s="242"/>
      <c r="BC111" s="242"/>
      <c r="BD111" s="242"/>
      <c r="BE111" s="242"/>
      <c r="BF111" s="242"/>
      <c r="BG111" s="242"/>
    </row>
    <row r="112" spans="1:71" ht="12.75" x14ac:dyDescent="0.2">
      <c r="A112" s="347" t="s">
        <v>554</v>
      </c>
      <c r="B112" s="345">
        <f>$B$131</f>
        <v>1.4332</v>
      </c>
      <c r="C112" s="346"/>
      <c r="D112" s="346"/>
      <c r="E112" s="346"/>
      <c r="F112" s="346"/>
      <c r="G112" s="346"/>
      <c r="H112" s="346"/>
      <c r="I112" s="346"/>
      <c r="J112" s="346"/>
      <c r="K112" s="346"/>
      <c r="L112" s="346"/>
      <c r="M112" s="346"/>
      <c r="N112" s="346"/>
      <c r="O112" s="346"/>
      <c r="P112" s="346"/>
      <c r="Q112" s="346"/>
      <c r="R112" s="346"/>
      <c r="S112" s="346"/>
      <c r="T112" s="346"/>
      <c r="U112" s="346"/>
      <c r="V112" s="346"/>
      <c r="W112" s="346"/>
      <c r="X112" s="346"/>
      <c r="Y112" s="346"/>
      <c r="Z112" s="346"/>
      <c r="AA112" s="346"/>
      <c r="AB112" s="346"/>
      <c r="AC112" s="346"/>
      <c r="AD112" s="346"/>
      <c r="AE112" s="346"/>
      <c r="AF112" s="346"/>
      <c r="AG112" s="346"/>
      <c r="AH112" s="346"/>
      <c r="AI112" s="346"/>
      <c r="AJ112" s="346"/>
      <c r="AK112" s="346"/>
      <c r="AL112" s="346"/>
      <c r="AM112" s="346"/>
      <c r="AN112" s="346"/>
      <c r="AO112" s="346"/>
      <c r="AP112" s="346"/>
      <c r="AT112" s="242"/>
      <c r="AU112" s="242"/>
      <c r="AV112" s="242"/>
      <c r="AW112" s="242"/>
      <c r="AX112" s="242"/>
      <c r="AY112" s="242"/>
      <c r="AZ112" s="242"/>
      <c r="BA112" s="242"/>
      <c r="BB112" s="242"/>
      <c r="BC112" s="242"/>
      <c r="BD112" s="242"/>
      <c r="BE112" s="242"/>
      <c r="BF112" s="242"/>
      <c r="BG112" s="242"/>
    </row>
    <row r="113" spans="1:71" ht="15" x14ac:dyDescent="0.2">
      <c r="A113" s="350" t="s">
        <v>555</v>
      </c>
      <c r="B113" s="351">
        <v>0</v>
      </c>
      <c r="C113" s="352">
        <v>0.33</v>
      </c>
      <c r="D113" s="352">
        <v>0.33</v>
      </c>
      <c r="E113" s="352">
        <v>0.34</v>
      </c>
      <c r="F113" s="351">
        <v>0</v>
      </c>
      <c r="G113" s="351">
        <v>0</v>
      </c>
      <c r="H113" s="351">
        <v>0</v>
      </c>
      <c r="I113" s="351">
        <v>0</v>
      </c>
      <c r="J113" s="351">
        <v>0</v>
      </c>
      <c r="K113" s="351">
        <v>0</v>
      </c>
      <c r="L113" s="351">
        <v>0</v>
      </c>
      <c r="M113" s="351">
        <v>0</v>
      </c>
      <c r="N113" s="351">
        <v>0</v>
      </c>
      <c r="O113" s="351">
        <v>0</v>
      </c>
      <c r="P113" s="351">
        <v>0</v>
      </c>
      <c r="Q113" s="351">
        <v>0</v>
      </c>
      <c r="R113" s="351">
        <v>0</v>
      </c>
      <c r="S113" s="351">
        <v>0</v>
      </c>
      <c r="T113" s="351">
        <v>0</v>
      </c>
      <c r="U113" s="351">
        <v>0</v>
      </c>
      <c r="V113" s="351">
        <v>0</v>
      </c>
      <c r="W113" s="351">
        <v>0</v>
      </c>
      <c r="X113" s="351">
        <v>0</v>
      </c>
      <c r="Y113" s="351">
        <v>0</v>
      </c>
      <c r="Z113" s="351">
        <v>0</v>
      </c>
      <c r="AA113" s="351">
        <v>0</v>
      </c>
      <c r="AB113" s="351">
        <v>0</v>
      </c>
      <c r="AC113" s="351">
        <v>0</v>
      </c>
      <c r="AD113" s="351">
        <v>0</v>
      </c>
      <c r="AE113" s="351">
        <v>0</v>
      </c>
      <c r="AF113" s="351">
        <v>0</v>
      </c>
      <c r="AG113" s="351">
        <v>0</v>
      </c>
      <c r="AH113" s="351">
        <v>0</v>
      </c>
      <c r="AI113" s="351">
        <v>0</v>
      </c>
      <c r="AJ113" s="351">
        <v>0</v>
      </c>
      <c r="AK113" s="351">
        <v>0</v>
      </c>
      <c r="AL113" s="351">
        <v>0</v>
      </c>
      <c r="AM113" s="351">
        <v>0</v>
      </c>
      <c r="AN113" s="351">
        <v>0</v>
      </c>
      <c r="AO113" s="351">
        <v>0</v>
      </c>
      <c r="AP113" s="351">
        <v>0</v>
      </c>
      <c r="AT113" s="242"/>
      <c r="AU113" s="242"/>
      <c r="AV113" s="242"/>
      <c r="AW113" s="242"/>
      <c r="AX113" s="242"/>
      <c r="AY113" s="242"/>
      <c r="AZ113" s="242"/>
      <c r="BA113" s="242"/>
      <c r="BB113" s="242"/>
      <c r="BC113" s="242"/>
      <c r="BD113" s="242"/>
      <c r="BE113" s="242"/>
      <c r="BF113" s="242"/>
      <c r="BG113" s="242"/>
    </row>
    <row r="114" spans="1:71" ht="12.75" x14ac:dyDescent="0.2">
      <c r="A114" s="248"/>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6"/>
      <c r="AR114" s="246"/>
      <c r="AS114" s="246"/>
      <c r="AT114" s="245"/>
      <c r="AU114" s="245"/>
      <c r="AV114" s="245"/>
      <c r="AW114" s="245"/>
      <c r="AX114" s="245"/>
      <c r="AY114" s="245"/>
      <c r="AZ114" s="245"/>
      <c r="BA114" s="245"/>
      <c r="BB114" s="245"/>
      <c r="BC114" s="245"/>
      <c r="BD114" s="245"/>
      <c r="BE114" s="245"/>
      <c r="BF114" s="245"/>
      <c r="BG114" s="245"/>
      <c r="BH114" s="245"/>
      <c r="BI114" s="245"/>
      <c r="BJ114" s="245"/>
      <c r="BK114" s="245"/>
      <c r="BL114" s="245"/>
      <c r="BM114" s="245"/>
      <c r="BN114" s="245"/>
      <c r="BO114" s="245"/>
      <c r="BP114" s="245"/>
      <c r="BQ114" s="245"/>
      <c r="BR114" s="245"/>
      <c r="BS114" s="245"/>
    </row>
    <row r="115" spans="1:71" ht="12.75" x14ac:dyDescent="0.2">
      <c r="A115" s="248"/>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c r="AI115" s="245"/>
      <c r="AJ115" s="245"/>
      <c r="AK115" s="245"/>
      <c r="AL115" s="245"/>
      <c r="AM115" s="245"/>
      <c r="AN115" s="245"/>
      <c r="AO115" s="245"/>
      <c r="AP115" s="245"/>
      <c r="AQ115" s="246"/>
      <c r="AR115" s="246"/>
      <c r="AS115" s="246"/>
      <c r="AT115" s="245"/>
      <c r="AU115" s="245"/>
      <c r="AV115" s="245"/>
      <c r="AW115" s="245"/>
      <c r="AX115" s="245"/>
      <c r="AY115" s="245"/>
      <c r="AZ115" s="245"/>
      <c r="BA115" s="245"/>
      <c r="BB115" s="245"/>
      <c r="BC115" s="245"/>
      <c r="BD115" s="245"/>
      <c r="BE115" s="245"/>
      <c r="BF115" s="245"/>
      <c r="BG115" s="245"/>
      <c r="BH115" s="245"/>
      <c r="BI115" s="245"/>
      <c r="BJ115" s="245"/>
      <c r="BK115" s="245"/>
      <c r="BL115" s="245"/>
      <c r="BM115" s="245"/>
      <c r="BN115" s="245"/>
      <c r="BO115" s="245"/>
      <c r="BP115" s="245"/>
      <c r="BQ115" s="245"/>
      <c r="BR115" s="245"/>
      <c r="BS115" s="245"/>
    </row>
    <row r="116" spans="1:71" ht="12.75" x14ac:dyDescent="0.2">
      <c r="A116" s="344"/>
      <c r="B116" s="481" t="s">
        <v>556</v>
      </c>
      <c r="C116" s="482"/>
      <c r="D116" s="481" t="s">
        <v>557</v>
      </c>
      <c r="E116" s="482"/>
      <c r="F116" s="344"/>
      <c r="G116" s="344"/>
      <c r="H116" s="344"/>
      <c r="I116" s="344"/>
      <c r="J116" s="344"/>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6"/>
      <c r="AR116" s="246"/>
      <c r="AS116" s="246"/>
      <c r="AT116" s="245"/>
      <c r="AU116" s="245"/>
      <c r="AV116" s="245"/>
      <c r="AW116" s="245"/>
      <c r="AX116" s="245"/>
      <c r="AY116" s="245"/>
      <c r="AZ116" s="245"/>
      <c r="BA116" s="245"/>
      <c r="BB116" s="245"/>
      <c r="BC116" s="245"/>
      <c r="BD116" s="245"/>
      <c r="BE116" s="245"/>
      <c r="BF116" s="245"/>
      <c r="BG116" s="245"/>
      <c r="BH116" s="245"/>
      <c r="BI116" s="245"/>
      <c r="BJ116" s="245"/>
      <c r="BK116" s="245"/>
      <c r="BL116" s="245"/>
      <c r="BM116" s="245"/>
      <c r="BN116" s="245"/>
      <c r="BO116" s="245"/>
      <c r="BP116" s="245"/>
      <c r="BQ116" s="245"/>
      <c r="BR116" s="245"/>
      <c r="BS116" s="245"/>
    </row>
    <row r="117" spans="1:71" ht="12.75" x14ac:dyDescent="0.2">
      <c r="A117" s="347" t="s">
        <v>558</v>
      </c>
      <c r="B117" s="353"/>
      <c r="C117" s="344" t="s">
        <v>559</v>
      </c>
      <c r="D117" s="353"/>
      <c r="E117" s="344" t="s">
        <v>559</v>
      </c>
      <c r="F117" s="344"/>
      <c r="G117" s="344"/>
      <c r="H117" s="344"/>
      <c r="I117" s="344"/>
      <c r="J117" s="344"/>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c r="AI117" s="245"/>
      <c r="AJ117" s="245"/>
      <c r="AK117" s="245"/>
      <c r="AL117" s="245"/>
      <c r="AM117" s="245"/>
      <c r="AN117" s="245"/>
      <c r="AO117" s="245"/>
      <c r="AP117" s="245"/>
      <c r="AQ117" s="246"/>
      <c r="AR117" s="246"/>
      <c r="AS117" s="246"/>
      <c r="AT117" s="245"/>
      <c r="AU117" s="245"/>
      <c r="AV117" s="245"/>
      <c r="AW117" s="245"/>
      <c r="AX117" s="245"/>
      <c r="AY117" s="245"/>
      <c r="AZ117" s="245"/>
      <c r="BA117" s="245"/>
      <c r="BB117" s="245"/>
      <c r="BC117" s="245"/>
      <c r="BD117" s="245"/>
      <c r="BE117" s="245"/>
      <c r="BF117" s="245"/>
      <c r="BG117" s="245"/>
      <c r="BH117" s="245"/>
      <c r="BI117" s="245"/>
      <c r="BJ117" s="245"/>
      <c r="BK117" s="245"/>
      <c r="BL117" s="245"/>
      <c r="BM117" s="245"/>
      <c r="BN117" s="245"/>
      <c r="BO117" s="245"/>
      <c r="BP117" s="245"/>
      <c r="BQ117" s="245"/>
      <c r="BR117" s="245"/>
      <c r="BS117" s="245"/>
    </row>
    <row r="118" spans="1:71" ht="25.5" x14ac:dyDescent="0.2">
      <c r="A118" s="347" t="s">
        <v>558</v>
      </c>
      <c r="B118" s="344">
        <f>$B$110*B117</f>
        <v>0</v>
      </c>
      <c r="C118" s="344" t="s">
        <v>126</v>
      </c>
      <c r="D118" s="344">
        <f>$B$110*D117</f>
        <v>0</v>
      </c>
      <c r="E118" s="344" t="s">
        <v>126</v>
      </c>
      <c r="F118" s="347" t="s">
        <v>560</v>
      </c>
      <c r="G118" s="344">
        <f>D117-B117</f>
        <v>0</v>
      </c>
      <c r="H118" s="344" t="s">
        <v>559</v>
      </c>
      <c r="I118" s="354">
        <f>$B$110*G118</f>
        <v>0</v>
      </c>
      <c r="J118" s="344" t="s">
        <v>126</v>
      </c>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6"/>
      <c r="AR118" s="246"/>
      <c r="AS118" s="246"/>
      <c r="AT118" s="245"/>
      <c r="AU118" s="245"/>
      <c r="AV118" s="245"/>
      <c r="AW118" s="245"/>
      <c r="AX118" s="245"/>
      <c r="AY118" s="245"/>
      <c r="AZ118" s="245"/>
      <c r="BA118" s="245"/>
      <c r="BB118" s="245"/>
      <c r="BC118" s="245"/>
      <c r="BD118" s="245"/>
      <c r="BE118" s="245"/>
      <c r="BF118" s="245"/>
      <c r="BG118" s="245"/>
      <c r="BH118" s="245"/>
      <c r="BI118" s="245"/>
      <c r="BJ118" s="245"/>
      <c r="BK118" s="245"/>
      <c r="BL118" s="245"/>
      <c r="BM118" s="245"/>
      <c r="BN118" s="245"/>
      <c r="BO118" s="245"/>
      <c r="BP118" s="245"/>
      <c r="BQ118" s="245"/>
      <c r="BR118" s="245"/>
      <c r="BS118" s="245"/>
    </row>
    <row r="119" spans="1:71" ht="25.5" x14ac:dyDescent="0.2">
      <c r="A119" s="344"/>
      <c r="B119" s="344"/>
      <c r="C119" s="344"/>
      <c r="D119" s="344"/>
      <c r="E119" s="344"/>
      <c r="F119" s="347" t="s">
        <v>561</v>
      </c>
      <c r="G119" s="344">
        <f>I119/$B$110</f>
        <v>2.204301075268817</v>
      </c>
      <c r="H119" s="344" t="s">
        <v>559</v>
      </c>
      <c r="I119" s="353">
        <f>'2. паспорт  ТП'!H23</f>
        <v>2.0499999999999998</v>
      </c>
      <c r="J119" s="344" t="s">
        <v>126</v>
      </c>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c r="AI119" s="245"/>
      <c r="AJ119" s="245"/>
      <c r="AK119" s="245"/>
      <c r="AL119" s="245"/>
      <c r="AM119" s="245"/>
      <c r="AN119" s="245"/>
      <c r="AO119" s="245"/>
      <c r="AP119" s="245"/>
      <c r="AQ119" s="246"/>
      <c r="AR119" s="246"/>
      <c r="AS119" s="246"/>
      <c r="AT119" s="245"/>
      <c r="AU119" s="245"/>
      <c r="AV119" s="245"/>
      <c r="AW119" s="245"/>
      <c r="AX119" s="245"/>
      <c r="AY119" s="245"/>
      <c r="AZ119" s="245"/>
      <c r="BA119" s="245"/>
      <c r="BB119" s="245"/>
      <c r="BC119" s="245"/>
      <c r="BD119" s="245"/>
      <c r="BE119" s="245"/>
      <c r="BF119" s="245"/>
      <c r="BG119" s="245"/>
      <c r="BH119" s="245"/>
      <c r="BI119" s="245"/>
      <c r="BJ119" s="245"/>
      <c r="BK119" s="245"/>
      <c r="BL119" s="245"/>
      <c r="BM119" s="245"/>
      <c r="BN119" s="245"/>
      <c r="BO119" s="245"/>
      <c r="BP119" s="245"/>
      <c r="BQ119" s="245"/>
      <c r="BR119" s="245"/>
      <c r="BS119" s="245"/>
    </row>
    <row r="120" spans="1:71" ht="38.25" x14ac:dyDescent="0.2">
      <c r="A120" s="355"/>
      <c r="B120" s="356"/>
      <c r="C120" s="356"/>
      <c r="D120" s="356"/>
      <c r="E120" s="356"/>
      <c r="F120" s="357" t="s">
        <v>562</v>
      </c>
      <c r="G120" s="354">
        <f>G118</f>
        <v>0</v>
      </c>
      <c r="H120" s="344" t="s">
        <v>559</v>
      </c>
      <c r="I120" s="349">
        <f>I118</f>
        <v>0</v>
      </c>
      <c r="J120" s="344" t="s">
        <v>126</v>
      </c>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6"/>
      <c r="AR120" s="246"/>
      <c r="AS120" s="246"/>
      <c r="AT120" s="245"/>
      <c r="AU120" s="245"/>
      <c r="AV120" s="245"/>
      <c r="AW120" s="245"/>
      <c r="AX120" s="245"/>
      <c r="AY120" s="245"/>
      <c r="AZ120" s="245"/>
      <c r="BA120" s="245"/>
      <c r="BB120" s="245"/>
      <c r="BC120" s="245"/>
      <c r="BD120" s="245"/>
      <c r="BE120" s="245"/>
      <c r="BF120" s="245"/>
      <c r="BG120" s="245"/>
      <c r="BH120" s="245"/>
      <c r="BI120" s="245"/>
      <c r="BJ120" s="245"/>
      <c r="BK120" s="245"/>
      <c r="BL120" s="245"/>
      <c r="BM120" s="245"/>
      <c r="BN120" s="245"/>
      <c r="BO120" s="245"/>
      <c r="BP120" s="245"/>
      <c r="BQ120" s="245"/>
      <c r="BR120" s="245"/>
      <c r="BS120" s="245"/>
    </row>
    <row r="121" spans="1:71" ht="12.75" x14ac:dyDescent="0.2">
      <c r="A121" s="249"/>
      <c r="B121" s="247"/>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6"/>
      <c r="AR121" s="246"/>
      <c r="AS121" s="246"/>
      <c r="AT121" s="245"/>
      <c r="AU121" s="245"/>
      <c r="AV121" s="245"/>
      <c r="AW121" s="245"/>
      <c r="AX121" s="245"/>
      <c r="AY121" s="245"/>
      <c r="AZ121" s="245"/>
      <c r="BA121" s="245"/>
      <c r="BB121" s="245"/>
      <c r="BC121" s="245"/>
      <c r="BD121" s="245"/>
      <c r="BE121" s="245"/>
      <c r="BF121" s="245"/>
      <c r="BG121" s="245"/>
      <c r="BH121" s="245"/>
      <c r="BI121" s="245"/>
      <c r="BJ121" s="245"/>
      <c r="BK121" s="245"/>
      <c r="BL121" s="245"/>
      <c r="BM121" s="245"/>
      <c r="BN121" s="245"/>
      <c r="BO121" s="245"/>
      <c r="BP121" s="245"/>
      <c r="BQ121" s="245"/>
      <c r="BR121" s="245"/>
      <c r="BS121" s="245"/>
    </row>
    <row r="122" spans="1:71" x14ac:dyDescent="0.2">
      <c r="A122" s="358" t="s">
        <v>563</v>
      </c>
      <c r="B122" s="359">
        <v>1.5156302399999999</v>
      </c>
      <c r="C122" s="247"/>
      <c r="D122" s="473" t="s">
        <v>340</v>
      </c>
      <c r="E122" s="322" t="s">
        <v>649</v>
      </c>
      <c r="F122" s="323">
        <v>35</v>
      </c>
      <c r="G122" s="474" t="s">
        <v>650</v>
      </c>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x14ac:dyDescent="0.2">
      <c r="A123" s="358" t="s">
        <v>340</v>
      </c>
      <c r="B123" s="360">
        <v>30</v>
      </c>
      <c r="C123" s="247"/>
      <c r="D123" s="473"/>
      <c r="E123" s="322" t="s">
        <v>645</v>
      </c>
      <c r="F123" s="323">
        <v>30</v>
      </c>
      <c r="G123" s="474"/>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x14ac:dyDescent="0.2">
      <c r="A124" s="358" t="s">
        <v>564</v>
      </c>
      <c r="B124" s="360" t="s">
        <v>532</v>
      </c>
      <c r="C124" s="250" t="s">
        <v>565</v>
      </c>
      <c r="D124" s="473"/>
      <c r="E124" s="322" t="s">
        <v>651</v>
      </c>
      <c r="F124" s="323">
        <v>30</v>
      </c>
      <c r="G124" s="474"/>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206" customFormat="1" x14ac:dyDescent="0.2">
      <c r="A125" s="324"/>
      <c r="B125" s="325"/>
      <c r="C125" s="251"/>
      <c r="D125" s="473"/>
      <c r="E125" s="322" t="s">
        <v>652</v>
      </c>
      <c r="F125" s="323">
        <v>30</v>
      </c>
      <c r="G125" s="474"/>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row>
    <row r="126" spans="1:71" ht="12.75" x14ac:dyDescent="0.2">
      <c r="A126" s="358" t="s">
        <v>566</v>
      </c>
      <c r="B126" s="361">
        <f>$B$122*1000*1000</f>
        <v>1515630.24</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x14ac:dyDescent="0.2">
      <c r="A127" s="358" t="s">
        <v>567</v>
      </c>
      <c r="B127" s="362">
        <v>0.01</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x14ac:dyDescent="0.2">
      <c r="A128" s="249"/>
      <c r="B128" s="253"/>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x14ac:dyDescent="0.2">
      <c r="A129" s="358" t="s">
        <v>568</v>
      </c>
      <c r="B129" s="363">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x14ac:dyDescent="0.2">
      <c r="A130" s="326"/>
      <c r="B130" s="327"/>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12.75" x14ac:dyDescent="0.2">
      <c r="A131" s="364" t="s">
        <v>653</v>
      </c>
      <c r="B131" s="365">
        <v>1.4332</v>
      </c>
      <c r="C131" s="252"/>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x14ac:dyDescent="0.2">
      <c r="A133" s="249"/>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206"/>
      <c r="AR133" s="206"/>
      <c r="AS133" s="206"/>
      <c r="BH133" s="247"/>
      <c r="BI133" s="247"/>
      <c r="BJ133" s="247"/>
      <c r="BK133" s="247"/>
      <c r="BL133" s="247"/>
      <c r="BM133" s="247"/>
      <c r="BN133" s="247"/>
      <c r="BO133" s="247"/>
      <c r="BP133" s="247"/>
      <c r="BQ133" s="247"/>
      <c r="BR133" s="247"/>
      <c r="BS133" s="247"/>
    </row>
    <row r="134" spans="1:71" x14ac:dyDescent="0.2">
      <c r="A134" s="358" t="s">
        <v>569</v>
      </c>
      <c r="C134" s="252" t="s">
        <v>654</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06"/>
      <c r="AR134" s="206"/>
      <c r="AS134" s="206"/>
      <c r="BH134" s="252"/>
      <c r="BI134" s="252"/>
      <c r="BJ134" s="252"/>
      <c r="BK134" s="252"/>
      <c r="BL134" s="252"/>
      <c r="BM134" s="252"/>
      <c r="BN134" s="252"/>
      <c r="BO134" s="252"/>
      <c r="BP134" s="252"/>
      <c r="BQ134" s="252"/>
      <c r="BR134" s="252"/>
      <c r="BS134" s="252"/>
    </row>
    <row r="135" spans="1:71" ht="12.75" x14ac:dyDescent="0.2">
      <c r="A135" s="358"/>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71" ht="12.75" x14ac:dyDescent="0.2">
      <c r="A136" s="358" t="s">
        <v>570</v>
      </c>
      <c r="B136" s="367"/>
      <c r="C136" s="368"/>
      <c r="D136" s="368">
        <v>4.5999999999999999E-2</v>
      </c>
      <c r="E136" s="368">
        <v>4.3999999999999997E-2</v>
      </c>
      <c r="F136" s="368">
        <v>4.2000000000000003E-2</v>
      </c>
      <c r="G136" s="368">
        <f>F136</f>
        <v>4.2000000000000003E-2</v>
      </c>
      <c r="H136" s="368">
        <f>G136</f>
        <v>4.2000000000000003E-2</v>
      </c>
      <c r="I136" s="368">
        <f t="shared" ref="I136:AY136" si="41">H136</f>
        <v>4.2000000000000003E-2</v>
      </c>
      <c r="J136" s="368">
        <f t="shared" si="41"/>
        <v>4.2000000000000003E-2</v>
      </c>
      <c r="K136" s="368">
        <f t="shared" si="41"/>
        <v>4.2000000000000003E-2</v>
      </c>
      <c r="L136" s="368">
        <f t="shared" si="41"/>
        <v>4.2000000000000003E-2</v>
      </c>
      <c r="M136" s="368">
        <f t="shared" si="41"/>
        <v>4.2000000000000003E-2</v>
      </c>
      <c r="N136" s="368">
        <f t="shared" si="41"/>
        <v>4.2000000000000003E-2</v>
      </c>
      <c r="O136" s="368">
        <f t="shared" si="41"/>
        <v>4.2000000000000003E-2</v>
      </c>
      <c r="P136" s="368">
        <f t="shared" si="41"/>
        <v>4.2000000000000003E-2</v>
      </c>
      <c r="Q136" s="368">
        <f t="shared" si="41"/>
        <v>4.2000000000000003E-2</v>
      </c>
      <c r="R136" s="368">
        <f t="shared" si="41"/>
        <v>4.2000000000000003E-2</v>
      </c>
      <c r="S136" s="368">
        <f t="shared" si="41"/>
        <v>4.2000000000000003E-2</v>
      </c>
      <c r="T136" s="368">
        <f t="shared" si="41"/>
        <v>4.2000000000000003E-2</v>
      </c>
      <c r="U136" s="368">
        <f t="shared" si="41"/>
        <v>4.2000000000000003E-2</v>
      </c>
      <c r="V136" s="368">
        <f t="shared" si="41"/>
        <v>4.2000000000000003E-2</v>
      </c>
      <c r="W136" s="368">
        <f t="shared" si="41"/>
        <v>4.2000000000000003E-2</v>
      </c>
      <c r="X136" s="368">
        <f t="shared" si="41"/>
        <v>4.2000000000000003E-2</v>
      </c>
      <c r="Y136" s="368">
        <f t="shared" si="41"/>
        <v>4.2000000000000003E-2</v>
      </c>
      <c r="Z136" s="368">
        <f t="shared" si="41"/>
        <v>4.2000000000000003E-2</v>
      </c>
      <c r="AA136" s="368">
        <f t="shared" si="41"/>
        <v>4.2000000000000003E-2</v>
      </c>
      <c r="AB136" s="368">
        <f t="shared" si="41"/>
        <v>4.2000000000000003E-2</v>
      </c>
      <c r="AC136" s="368">
        <f t="shared" si="41"/>
        <v>4.2000000000000003E-2</v>
      </c>
      <c r="AD136" s="368">
        <f t="shared" si="41"/>
        <v>4.2000000000000003E-2</v>
      </c>
      <c r="AE136" s="368">
        <f t="shared" si="41"/>
        <v>4.2000000000000003E-2</v>
      </c>
      <c r="AF136" s="368">
        <f t="shared" si="41"/>
        <v>4.2000000000000003E-2</v>
      </c>
      <c r="AG136" s="368">
        <f t="shared" si="41"/>
        <v>4.2000000000000003E-2</v>
      </c>
      <c r="AH136" s="368">
        <f t="shared" si="41"/>
        <v>4.2000000000000003E-2</v>
      </c>
      <c r="AI136" s="368">
        <f t="shared" si="41"/>
        <v>4.2000000000000003E-2</v>
      </c>
      <c r="AJ136" s="368">
        <f t="shared" si="41"/>
        <v>4.2000000000000003E-2</v>
      </c>
      <c r="AK136" s="368">
        <f t="shared" si="41"/>
        <v>4.2000000000000003E-2</v>
      </c>
      <c r="AL136" s="368">
        <f t="shared" si="41"/>
        <v>4.2000000000000003E-2</v>
      </c>
      <c r="AM136" s="368">
        <f t="shared" si="41"/>
        <v>4.2000000000000003E-2</v>
      </c>
      <c r="AN136" s="368">
        <f t="shared" si="41"/>
        <v>4.2000000000000003E-2</v>
      </c>
      <c r="AO136" s="368">
        <f t="shared" si="41"/>
        <v>4.2000000000000003E-2</v>
      </c>
      <c r="AP136" s="368">
        <f t="shared" si="41"/>
        <v>4.2000000000000003E-2</v>
      </c>
      <c r="AQ136" s="368">
        <f t="shared" si="41"/>
        <v>4.2000000000000003E-2</v>
      </c>
      <c r="AR136" s="368">
        <f t="shared" si="41"/>
        <v>4.2000000000000003E-2</v>
      </c>
      <c r="AS136" s="368">
        <f t="shared" si="41"/>
        <v>4.2000000000000003E-2</v>
      </c>
      <c r="AT136" s="368">
        <f t="shared" si="41"/>
        <v>4.2000000000000003E-2</v>
      </c>
      <c r="AU136" s="368">
        <f t="shared" si="41"/>
        <v>4.2000000000000003E-2</v>
      </c>
      <c r="AV136" s="368">
        <f t="shared" si="41"/>
        <v>4.2000000000000003E-2</v>
      </c>
      <c r="AW136" s="368">
        <f t="shared" si="41"/>
        <v>4.2000000000000003E-2</v>
      </c>
      <c r="AX136" s="368">
        <f t="shared" si="41"/>
        <v>4.2000000000000003E-2</v>
      </c>
      <c r="AY136" s="368">
        <f t="shared" si="41"/>
        <v>4.2000000000000003E-2</v>
      </c>
    </row>
    <row r="137" spans="1:71" s="206" customFormat="1" ht="15" x14ac:dyDescent="0.2">
      <c r="A137" s="358" t="s">
        <v>571</v>
      </c>
      <c r="B137" s="328"/>
      <c r="C137" s="369">
        <f>(1+B137)*(1+C136)-1</f>
        <v>0</v>
      </c>
      <c r="D137" s="369">
        <f>(1+C137)*(1+D136)-1</f>
        <v>4.6000000000000041E-2</v>
      </c>
      <c r="E137" s="369">
        <f>(1+D137)*(1+E136)-1</f>
        <v>9.2024000000000106E-2</v>
      </c>
      <c r="F137" s="369">
        <f t="shared" ref="F137:AY137" si="42">(1+E137)*(1+F136)-1</f>
        <v>0.13788900800000015</v>
      </c>
      <c r="G137" s="369">
        <f>(1+F137)*(1+G136)-1</f>
        <v>0.18568034633600017</v>
      </c>
      <c r="H137" s="369">
        <f t="shared" si="42"/>
        <v>0.2354789208821122</v>
      </c>
      <c r="I137" s="369">
        <f t="shared" si="42"/>
        <v>0.28736903555916093</v>
      </c>
      <c r="J137" s="369">
        <f t="shared" si="42"/>
        <v>0.34143853505264565</v>
      </c>
      <c r="K137" s="369">
        <f t="shared" si="42"/>
        <v>0.39777895352485682</v>
      </c>
      <c r="L137" s="369">
        <f t="shared" si="42"/>
        <v>0.45648566957290093</v>
      </c>
      <c r="M137" s="369">
        <f t="shared" si="42"/>
        <v>0.51765806769496292</v>
      </c>
      <c r="N137" s="369">
        <f t="shared" si="42"/>
        <v>0.58139970653815132</v>
      </c>
      <c r="O137" s="369">
        <f t="shared" si="42"/>
        <v>0.64781849421275384</v>
      </c>
      <c r="P137" s="369">
        <f t="shared" si="42"/>
        <v>0.71702687096968964</v>
      </c>
      <c r="Q137" s="369">
        <f t="shared" si="42"/>
        <v>0.78914199955041675</v>
      </c>
      <c r="R137" s="369">
        <f t="shared" si="42"/>
        <v>0.86428596353153431</v>
      </c>
      <c r="S137" s="369">
        <f t="shared" si="42"/>
        <v>0.94258597399985877</v>
      </c>
      <c r="T137" s="369">
        <f t="shared" si="42"/>
        <v>1.0241745849078527</v>
      </c>
      <c r="U137" s="369">
        <f t="shared" si="42"/>
        <v>1.1091899174739828</v>
      </c>
      <c r="V137" s="369">
        <f t="shared" si="42"/>
        <v>1.19777589400789</v>
      </c>
      <c r="W137" s="369">
        <f t="shared" si="42"/>
        <v>1.2900824815562215</v>
      </c>
      <c r="X137" s="369">
        <f t="shared" si="42"/>
        <v>1.3862659457815827</v>
      </c>
      <c r="Y137" s="369">
        <f t="shared" si="42"/>
        <v>1.4864891155044093</v>
      </c>
      <c r="Z137" s="369">
        <f t="shared" si="42"/>
        <v>1.5909216583555947</v>
      </c>
      <c r="AA137" s="369">
        <f t="shared" si="42"/>
        <v>1.6997403680065299</v>
      </c>
      <c r="AB137" s="369">
        <f t="shared" si="42"/>
        <v>1.8131294634628041</v>
      </c>
      <c r="AC137" s="369">
        <f t="shared" si="42"/>
        <v>1.9312809009282419</v>
      </c>
      <c r="AD137" s="369">
        <f t="shared" si="42"/>
        <v>2.0543946987672284</v>
      </c>
      <c r="AE137" s="369">
        <f t="shared" si="42"/>
        <v>2.1826792761154521</v>
      </c>
      <c r="AF137" s="369">
        <f t="shared" si="42"/>
        <v>2.3163518057123014</v>
      </c>
      <c r="AG137" s="369">
        <f t="shared" si="42"/>
        <v>2.4556385815522184</v>
      </c>
      <c r="AH137" s="369">
        <f t="shared" si="42"/>
        <v>2.6007754019774119</v>
      </c>
      <c r="AI137" s="369">
        <f t="shared" si="42"/>
        <v>2.7520079688604633</v>
      </c>
      <c r="AJ137" s="369">
        <f t="shared" si="42"/>
        <v>2.909592303552603</v>
      </c>
      <c r="AK137" s="369">
        <f t="shared" si="42"/>
        <v>3.0737951803018122</v>
      </c>
      <c r="AL137" s="369">
        <f t="shared" si="42"/>
        <v>3.2448945778744882</v>
      </c>
      <c r="AM137" s="369">
        <f t="shared" si="42"/>
        <v>3.4231801501452166</v>
      </c>
      <c r="AN137" s="369">
        <f t="shared" si="42"/>
        <v>3.6089537164513157</v>
      </c>
      <c r="AO137" s="369">
        <f t="shared" si="42"/>
        <v>3.8025297725422709</v>
      </c>
      <c r="AP137" s="369">
        <f t="shared" si="42"/>
        <v>4.0042360229890468</v>
      </c>
      <c r="AQ137" s="369">
        <f t="shared" si="42"/>
        <v>4.2144139359545871</v>
      </c>
      <c r="AR137" s="369">
        <f t="shared" si="42"/>
        <v>4.4334193212646804</v>
      </c>
      <c r="AS137" s="369">
        <f t="shared" si="42"/>
        <v>4.6616229327577976</v>
      </c>
      <c r="AT137" s="369">
        <f t="shared" si="42"/>
        <v>4.8994110959336252</v>
      </c>
      <c r="AU137" s="369">
        <f t="shared" si="42"/>
        <v>5.147186361962838</v>
      </c>
      <c r="AV137" s="369">
        <f t="shared" si="42"/>
        <v>5.4053681891652774</v>
      </c>
      <c r="AW137" s="369">
        <f>(1+AV137)*(1+AW136)-1</f>
        <v>5.6743936531102195</v>
      </c>
      <c r="AX137" s="369">
        <f t="shared" si="42"/>
        <v>5.9547181865408492</v>
      </c>
      <c r="AY137" s="369">
        <f t="shared" si="42"/>
        <v>6.2468163503755649</v>
      </c>
    </row>
    <row r="138" spans="1:71" s="206" customFormat="1" x14ac:dyDescent="0.2">
      <c r="A138" s="254"/>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172"/>
    </row>
    <row r="139" spans="1:71" ht="12.75" x14ac:dyDescent="0.2">
      <c r="A139" s="249"/>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x14ac:dyDescent="0.2">
      <c r="A140" s="249"/>
      <c r="B140" s="370">
        <v>0</v>
      </c>
      <c r="C140" s="370">
        <v>0</v>
      </c>
      <c r="D140" s="370">
        <v>1</v>
      </c>
      <c r="E140" s="370">
        <f>D140+1</f>
        <v>2</v>
      </c>
      <c r="F140" s="370">
        <f t="shared" si="43"/>
        <v>3</v>
      </c>
      <c r="G140" s="370">
        <f t="shared" si="43"/>
        <v>4</v>
      </c>
      <c r="H140" s="370">
        <f t="shared" si="43"/>
        <v>5</v>
      </c>
      <c r="I140" s="370">
        <f t="shared" si="43"/>
        <v>6</v>
      </c>
      <c r="J140" s="370">
        <f t="shared" si="43"/>
        <v>7</v>
      </c>
      <c r="K140" s="370">
        <f t="shared" si="43"/>
        <v>8</v>
      </c>
      <c r="L140" s="370">
        <f t="shared" si="43"/>
        <v>9</v>
      </c>
      <c r="M140" s="370">
        <f t="shared" si="43"/>
        <v>10</v>
      </c>
      <c r="N140" s="370">
        <f t="shared" si="43"/>
        <v>11</v>
      </c>
      <c r="O140" s="370">
        <f t="shared" si="43"/>
        <v>12</v>
      </c>
      <c r="P140" s="370">
        <f t="shared" si="43"/>
        <v>13</v>
      </c>
      <c r="Q140" s="370">
        <f t="shared" si="43"/>
        <v>14</v>
      </c>
      <c r="R140" s="370">
        <f t="shared" si="43"/>
        <v>15</v>
      </c>
      <c r="S140" s="370">
        <f t="shared" si="43"/>
        <v>16</v>
      </c>
      <c r="T140" s="370">
        <f t="shared" si="44"/>
        <v>17</v>
      </c>
      <c r="U140" s="370">
        <f t="shared" si="44"/>
        <v>18</v>
      </c>
      <c r="V140" s="370">
        <f t="shared" si="44"/>
        <v>19</v>
      </c>
      <c r="W140" s="370">
        <f t="shared" si="44"/>
        <v>20</v>
      </c>
      <c r="X140" s="370">
        <f t="shared" si="44"/>
        <v>21</v>
      </c>
      <c r="Y140" s="370">
        <f t="shared" si="44"/>
        <v>22</v>
      </c>
      <c r="Z140" s="370">
        <f t="shared" si="44"/>
        <v>23</v>
      </c>
      <c r="AA140" s="370">
        <f t="shared" si="44"/>
        <v>24</v>
      </c>
      <c r="AB140" s="370">
        <f t="shared" si="44"/>
        <v>25</v>
      </c>
      <c r="AC140" s="370">
        <f t="shared" si="44"/>
        <v>26</v>
      </c>
      <c r="AD140" s="370">
        <f t="shared" si="44"/>
        <v>27</v>
      </c>
      <c r="AE140" s="370">
        <f t="shared" si="44"/>
        <v>28</v>
      </c>
      <c r="AF140" s="370">
        <f t="shared" si="44"/>
        <v>29</v>
      </c>
      <c r="AG140" s="370">
        <f t="shared" si="44"/>
        <v>30</v>
      </c>
      <c r="AH140" s="370">
        <f t="shared" si="44"/>
        <v>31</v>
      </c>
      <c r="AI140" s="370">
        <f t="shared" si="44"/>
        <v>32</v>
      </c>
      <c r="AJ140" s="370">
        <f t="shared" si="45"/>
        <v>33</v>
      </c>
      <c r="AK140" s="370">
        <f t="shared" si="45"/>
        <v>34</v>
      </c>
      <c r="AL140" s="370">
        <f t="shared" si="45"/>
        <v>35</v>
      </c>
      <c r="AM140" s="370">
        <f t="shared" si="45"/>
        <v>36</v>
      </c>
      <c r="AN140" s="370">
        <f t="shared" si="45"/>
        <v>37</v>
      </c>
      <c r="AO140" s="370">
        <f t="shared" si="45"/>
        <v>38</v>
      </c>
      <c r="AP140" s="370">
        <f>AO140+1</f>
        <v>39</v>
      </c>
      <c r="AQ140" s="370">
        <f t="shared" si="45"/>
        <v>40</v>
      </c>
      <c r="AR140" s="370">
        <f t="shared" si="45"/>
        <v>41</v>
      </c>
      <c r="AS140" s="370">
        <f t="shared" si="45"/>
        <v>42</v>
      </c>
      <c r="AT140" s="370">
        <f t="shared" si="45"/>
        <v>43</v>
      </c>
      <c r="AU140" s="370">
        <f t="shared" si="45"/>
        <v>44</v>
      </c>
      <c r="AV140" s="370">
        <f t="shared" si="45"/>
        <v>45</v>
      </c>
      <c r="AW140" s="370">
        <f t="shared" si="45"/>
        <v>46</v>
      </c>
      <c r="AX140" s="370">
        <f t="shared" si="45"/>
        <v>47</v>
      </c>
      <c r="AY140" s="370">
        <f t="shared" si="45"/>
        <v>48</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x14ac:dyDescent="0.2">
      <c r="A141" s="249"/>
      <c r="B141" s="371">
        <f>AVERAGE(A140:B140)</f>
        <v>0</v>
      </c>
      <c r="C141" s="371">
        <f>AVERAGE(B140:C140)</f>
        <v>0</v>
      </c>
      <c r="D141" s="371">
        <f>AVERAGE(C140:D140)</f>
        <v>0.5</v>
      </c>
      <c r="E141" s="371">
        <f>AVERAGE(D140:E140)</f>
        <v>1.5</v>
      </c>
      <c r="F141" s="371">
        <f t="shared" ref="F141:AO141" si="46">AVERAGE(E140:F140)</f>
        <v>2.5</v>
      </c>
      <c r="G141" s="371">
        <f t="shared" si="46"/>
        <v>3.5</v>
      </c>
      <c r="H141" s="371">
        <f t="shared" si="46"/>
        <v>4.5</v>
      </c>
      <c r="I141" s="371">
        <f t="shared" si="46"/>
        <v>5.5</v>
      </c>
      <c r="J141" s="371">
        <f t="shared" si="46"/>
        <v>6.5</v>
      </c>
      <c r="K141" s="371">
        <f t="shared" si="46"/>
        <v>7.5</v>
      </c>
      <c r="L141" s="371">
        <f t="shared" si="46"/>
        <v>8.5</v>
      </c>
      <c r="M141" s="371">
        <f t="shared" si="46"/>
        <v>9.5</v>
      </c>
      <c r="N141" s="371">
        <f t="shared" si="46"/>
        <v>10.5</v>
      </c>
      <c r="O141" s="371">
        <f t="shared" si="46"/>
        <v>11.5</v>
      </c>
      <c r="P141" s="371">
        <f t="shared" si="46"/>
        <v>12.5</v>
      </c>
      <c r="Q141" s="371">
        <f t="shared" si="46"/>
        <v>13.5</v>
      </c>
      <c r="R141" s="371">
        <f t="shared" si="46"/>
        <v>14.5</v>
      </c>
      <c r="S141" s="371">
        <f t="shared" si="46"/>
        <v>15.5</v>
      </c>
      <c r="T141" s="371">
        <f t="shared" si="46"/>
        <v>16.5</v>
      </c>
      <c r="U141" s="371">
        <f t="shared" si="46"/>
        <v>17.5</v>
      </c>
      <c r="V141" s="371">
        <f t="shared" si="46"/>
        <v>18.5</v>
      </c>
      <c r="W141" s="371">
        <f t="shared" si="46"/>
        <v>19.5</v>
      </c>
      <c r="X141" s="371">
        <f t="shared" si="46"/>
        <v>20.5</v>
      </c>
      <c r="Y141" s="371">
        <f t="shared" si="46"/>
        <v>21.5</v>
      </c>
      <c r="Z141" s="371">
        <f t="shared" si="46"/>
        <v>22.5</v>
      </c>
      <c r="AA141" s="371">
        <f t="shared" si="46"/>
        <v>23.5</v>
      </c>
      <c r="AB141" s="371">
        <f t="shared" si="46"/>
        <v>24.5</v>
      </c>
      <c r="AC141" s="371">
        <f t="shared" si="46"/>
        <v>25.5</v>
      </c>
      <c r="AD141" s="371">
        <f t="shared" si="46"/>
        <v>26.5</v>
      </c>
      <c r="AE141" s="371">
        <f t="shared" si="46"/>
        <v>27.5</v>
      </c>
      <c r="AF141" s="371">
        <f t="shared" si="46"/>
        <v>28.5</v>
      </c>
      <c r="AG141" s="371">
        <f t="shared" si="46"/>
        <v>29.5</v>
      </c>
      <c r="AH141" s="371">
        <f t="shared" si="46"/>
        <v>30.5</v>
      </c>
      <c r="AI141" s="371">
        <f t="shared" si="46"/>
        <v>31.5</v>
      </c>
      <c r="AJ141" s="371">
        <f t="shared" si="46"/>
        <v>32.5</v>
      </c>
      <c r="AK141" s="371">
        <f t="shared" si="46"/>
        <v>33.5</v>
      </c>
      <c r="AL141" s="371">
        <f t="shared" si="46"/>
        <v>34.5</v>
      </c>
      <c r="AM141" s="371">
        <f t="shared" si="46"/>
        <v>35.5</v>
      </c>
      <c r="AN141" s="371">
        <f t="shared" si="46"/>
        <v>36.5</v>
      </c>
      <c r="AO141" s="371">
        <f t="shared" si="46"/>
        <v>37.5</v>
      </c>
      <c r="AP141" s="371">
        <f>AVERAGE(AO140:AP140)</f>
        <v>38.5</v>
      </c>
      <c r="AQ141" s="371">
        <f t="shared" ref="AQ141:AY141" si="47">AVERAGE(AP140:AQ140)</f>
        <v>39.5</v>
      </c>
      <c r="AR141" s="371">
        <f t="shared" si="47"/>
        <v>40.5</v>
      </c>
      <c r="AS141" s="371">
        <f t="shared" si="47"/>
        <v>41.5</v>
      </c>
      <c r="AT141" s="371">
        <f t="shared" si="47"/>
        <v>42.5</v>
      </c>
      <c r="AU141" s="371">
        <f t="shared" si="47"/>
        <v>43.5</v>
      </c>
      <c r="AV141" s="371">
        <f t="shared" si="47"/>
        <v>44.5</v>
      </c>
      <c r="AW141" s="371">
        <f t="shared" si="47"/>
        <v>45.5</v>
      </c>
      <c r="AX141" s="371">
        <f t="shared" si="47"/>
        <v>46.5</v>
      </c>
      <c r="AY141" s="371">
        <f t="shared" si="47"/>
        <v>47.5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49"/>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49"/>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49"/>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49"/>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49"/>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49"/>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49"/>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49"/>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49"/>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49"/>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49"/>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49"/>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49"/>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49"/>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48"/>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6"/>
      <c r="AR156" s="246"/>
      <c r="AS156" s="246"/>
      <c r="AT156" s="245"/>
      <c r="AU156" s="245"/>
      <c r="AV156" s="245"/>
      <c r="AW156" s="245"/>
      <c r="AX156" s="245"/>
      <c r="AY156" s="245"/>
      <c r="AZ156" s="245"/>
      <c r="BA156" s="245"/>
      <c r="BB156" s="245"/>
      <c r="BC156" s="245"/>
      <c r="BD156" s="245"/>
      <c r="BE156" s="245"/>
      <c r="BF156" s="245"/>
      <c r="BG156" s="245"/>
      <c r="BH156" s="245"/>
      <c r="BI156" s="245"/>
      <c r="BJ156" s="245"/>
      <c r="BK156" s="245"/>
      <c r="BL156" s="245"/>
      <c r="BM156" s="245"/>
      <c r="BN156" s="245"/>
      <c r="BO156" s="245"/>
      <c r="BP156" s="245"/>
      <c r="BQ156" s="245"/>
      <c r="BR156" s="245"/>
      <c r="BS156" s="245"/>
    </row>
    <row r="157" spans="1:71" ht="12.75" x14ac:dyDescent="0.2">
      <c r="A157" s="248"/>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5"/>
      <c r="AL157" s="245"/>
      <c r="AM157" s="245"/>
      <c r="AN157" s="245"/>
      <c r="AO157" s="245"/>
      <c r="AP157" s="245"/>
      <c r="AQ157" s="246"/>
      <c r="AR157" s="246"/>
      <c r="AS157" s="246"/>
      <c r="AT157" s="245"/>
      <c r="AU157" s="245"/>
      <c r="AV157" s="245"/>
      <c r="AW157" s="245"/>
      <c r="AX157" s="245"/>
      <c r="AY157" s="245"/>
      <c r="AZ157" s="245"/>
      <c r="BA157" s="245"/>
      <c r="BB157" s="245"/>
      <c r="BC157" s="245"/>
      <c r="BD157" s="245"/>
      <c r="BE157" s="245"/>
      <c r="BF157" s="245"/>
      <c r="BG157" s="245"/>
      <c r="BH157" s="245"/>
      <c r="BI157" s="245"/>
      <c r="BJ157" s="245"/>
      <c r="BK157" s="245"/>
      <c r="BL157" s="245"/>
      <c r="BM157" s="245"/>
      <c r="BN157" s="245"/>
      <c r="BO157" s="245"/>
      <c r="BP157" s="245"/>
      <c r="BQ157" s="245"/>
      <c r="BR157" s="245"/>
      <c r="BS157" s="245"/>
    </row>
    <row r="158" spans="1:71" ht="12.75" x14ac:dyDescent="0.2">
      <c r="A158" s="248"/>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5"/>
      <c r="AJ158" s="245"/>
      <c r="AK158" s="245"/>
      <c r="AL158" s="245"/>
      <c r="AM158" s="245"/>
      <c r="AN158" s="245"/>
      <c r="AO158" s="245"/>
      <c r="AP158" s="245"/>
      <c r="AQ158" s="246"/>
      <c r="AR158" s="246"/>
      <c r="AS158" s="246"/>
      <c r="AT158" s="245"/>
      <c r="AU158" s="245"/>
      <c r="AV158" s="245"/>
      <c r="AW158" s="245"/>
      <c r="AX158" s="245"/>
      <c r="AY158" s="245"/>
      <c r="AZ158" s="245"/>
      <c r="BA158" s="245"/>
      <c r="BB158" s="245"/>
      <c r="BC158" s="245"/>
      <c r="BD158" s="245"/>
      <c r="BE158" s="245"/>
      <c r="BF158" s="245"/>
      <c r="BG158" s="245"/>
      <c r="BH158" s="245"/>
      <c r="BI158" s="245"/>
      <c r="BJ158" s="245"/>
      <c r="BK158" s="245"/>
      <c r="BL158" s="245"/>
      <c r="BM158" s="245"/>
      <c r="BN158" s="245"/>
      <c r="BO158" s="245"/>
      <c r="BP158" s="245"/>
      <c r="BQ158" s="245"/>
      <c r="BR158" s="245"/>
      <c r="BS158" s="245"/>
    </row>
    <row r="159" spans="1:71" ht="12.75" x14ac:dyDescent="0.2">
      <c r="A159" s="248"/>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245"/>
      <c r="AF159" s="245"/>
      <c r="AG159" s="245"/>
      <c r="AH159" s="245"/>
      <c r="AI159" s="245"/>
      <c r="AJ159" s="245"/>
      <c r="AK159" s="245"/>
      <c r="AL159" s="245"/>
      <c r="AM159" s="245"/>
      <c r="AN159" s="245"/>
      <c r="AO159" s="245"/>
      <c r="AP159" s="245"/>
      <c r="AQ159" s="246"/>
      <c r="AR159" s="246"/>
      <c r="AS159" s="246"/>
      <c r="AT159" s="245"/>
      <c r="AU159" s="245"/>
      <c r="AV159" s="245"/>
      <c r="AW159" s="245"/>
      <c r="AX159" s="245"/>
      <c r="AY159" s="245"/>
      <c r="AZ159" s="245"/>
      <c r="BA159" s="245"/>
      <c r="BB159" s="245"/>
      <c r="BC159" s="245"/>
      <c r="BD159" s="245"/>
      <c r="BE159" s="245"/>
      <c r="BF159" s="245"/>
      <c r="BG159" s="245"/>
      <c r="BH159" s="245"/>
      <c r="BI159" s="245"/>
      <c r="BJ159" s="245"/>
      <c r="BK159" s="245"/>
      <c r="BL159" s="245"/>
      <c r="BM159" s="245"/>
      <c r="BN159" s="245"/>
      <c r="BO159" s="245"/>
      <c r="BP159" s="245"/>
      <c r="BQ159" s="245"/>
      <c r="BR159" s="245"/>
      <c r="BS159" s="245"/>
    </row>
    <row r="160" spans="1:71" ht="12.75" x14ac:dyDescent="0.2">
      <c r="A160" s="248"/>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5"/>
      <c r="AL160" s="245"/>
      <c r="AM160" s="245"/>
      <c r="AN160" s="245"/>
      <c r="AO160" s="245"/>
      <c r="AP160" s="245"/>
      <c r="AQ160" s="246"/>
      <c r="AR160" s="246"/>
      <c r="AS160" s="246"/>
      <c r="AT160" s="245"/>
      <c r="AU160" s="245"/>
      <c r="AV160" s="245"/>
      <c r="AW160" s="245"/>
      <c r="AX160" s="245"/>
      <c r="AY160" s="245"/>
      <c r="AZ160" s="245"/>
      <c r="BA160" s="245"/>
      <c r="BB160" s="245"/>
      <c r="BC160" s="245"/>
      <c r="BD160" s="245"/>
      <c r="BE160" s="245"/>
      <c r="BF160" s="245"/>
      <c r="BG160" s="245"/>
      <c r="BH160" s="245"/>
      <c r="BI160" s="245"/>
      <c r="BJ160" s="245"/>
      <c r="BK160" s="245"/>
      <c r="BL160" s="245"/>
      <c r="BM160" s="245"/>
      <c r="BN160" s="245"/>
      <c r="BO160" s="245"/>
      <c r="BP160" s="245"/>
      <c r="BQ160" s="245"/>
      <c r="BR160" s="245"/>
      <c r="BS160" s="245"/>
    </row>
    <row r="161" spans="1:71" ht="12.75" x14ac:dyDescent="0.2">
      <c r="A161" s="248"/>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245"/>
      <c r="AF161" s="245"/>
      <c r="AG161" s="245"/>
      <c r="AH161" s="245"/>
      <c r="AI161" s="245"/>
      <c r="AJ161" s="245"/>
      <c r="AK161" s="245"/>
      <c r="AL161" s="245"/>
      <c r="AM161" s="245"/>
      <c r="AN161" s="245"/>
      <c r="AO161" s="245"/>
      <c r="AP161" s="245"/>
      <c r="AQ161" s="246"/>
      <c r="AR161" s="246"/>
      <c r="AS161" s="246"/>
      <c r="AT161" s="245"/>
      <c r="AU161" s="245"/>
      <c r="AV161" s="245"/>
      <c r="AW161" s="245"/>
      <c r="AX161" s="245"/>
      <c r="AY161" s="245"/>
      <c r="AZ161" s="245"/>
      <c r="BA161" s="245"/>
      <c r="BB161" s="245"/>
      <c r="BC161" s="245"/>
      <c r="BD161" s="245"/>
      <c r="BE161" s="245"/>
      <c r="BF161" s="245"/>
      <c r="BG161" s="245"/>
      <c r="BH161" s="245"/>
      <c r="BI161" s="245"/>
      <c r="BJ161" s="245"/>
      <c r="BK161" s="245"/>
      <c r="BL161" s="245"/>
      <c r="BM161" s="245"/>
      <c r="BN161" s="245"/>
      <c r="BO161" s="245"/>
      <c r="BP161" s="245"/>
      <c r="BQ161" s="245"/>
      <c r="BR161" s="245"/>
      <c r="BS161" s="245"/>
    </row>
    <row r="162" spans="1:71" ht="12.75" x14ac:dyDescent="0.2">
      <c r="A162" s="248"/>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5"/>
      <c r="AM162" s="245"/>
      <c r="AN162" s="245"/>
      <c r="AO162" s="245"/>
      <c r="AP162" s="245"/>
      <c r="AQ162" s="246"/>
      <c r="AR162" s="246"/>
      <c r="AS162" s="246"/>
      <c r="AT162" s="245"/>
      <c r="AU162" s="245"/>
      <c r="AV162" s="245"/>
      <c r="AW162" s="245"/>
      <c r="AX162" s="245"/>
      <c r="AY162" s="245"/>
      <c r="AZ162" s="245"/>
      <c r="BA162" s="245"/>
      <c r="BB162" s="245"/>
      <c r="BC162" s="245"/>
      <c r="BD162" s="245"/>
      <c r="BE162" s="245"/>
      <c r="BF162" s="245"/>
      <c r="BG162" s="245"/>
      <c r="BH162" s="245"/>
      <c r="BI162" s="245"/>
      <c r="BJ162" s="245"/>
      <c r="BK162" s="245"/>
      <c r="BL162" s="245"/>
      <c r="BM162" s="245"/>
      <c r="BN162" s="245"/>
      <c r="BO162" s="245"/>
      <c r="BP162" s="245"/>
      <c r="BQ162" s="245"/>
      <c r="BR162" s="245"/>
      <c r="BS162" s="245"/>
    </row>
    <row r="163" spans="1:71" ht="12.75" x14ac:dyDescent="0.2">
      <c r="A163" s="248"/>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5"/>
      <c r="AM163" s="245"/>
      <c r="AN163" s="245"/>
      <c r="AO163" s="245"/>
      <c r="AP163" s="245"/>
      <c r="AQ163" s="246"/>
      <c r="AR163" s="246"/>
      <c r="AS163" s="246"/>
      <c r="AT163" s="245"/>
      <c r="AU163" s="245"/>
      <c r="AV163" s="245"/>
      <c r="AW163" s="245"/>
      <c r="AX163" s="245"/>
      <c r="AY163" s="245"/>
      <c r="AZ163" s="245"/>
      <c r="BA163" s="245"/>
      <c r="BB163" s="245"/>
      <c r="BC163" s="245"/>
      <c r="BD163" s="245"/>
      <c r="BE163" s="245"/>
      <c r="BF163" s="245"/>
      <c r="BG163" s="245"/>
      <c r="BH163" s="245"/>
      <c r="BI163" s="245"/>
      <c r="BJ163" s="245"/>
      <c r="BK163" s="245"/>
      <c r="BL163" s="245"/>
      <c r="BM163" s="245"/>
      <c r="BN163" s="245"/>
      <c r="BO163" s="245"/>
      <c r="BP163" s="245"/>
      <c r="BQ163" s="245"/>
      <c r="BR163" s="245"/>
      <c r="BS163" s="245"/>
    </row>
    <row r="164" spans="1:71" ht="12.75" x14ac:dyDescent="0.2">
      <c r="A164" s="248"/>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45"/>
      <c r="AF164" s="245"/>
      <c r="AG164" s="245"/>
      <c r="AH164" s="245"/>
      <c r="AI164" s="245"/>
      <c r="AJ164" s="245"/>
      <c r="AK164" s="245"/>
      <c r="AL164" s="245"/>
      <c r="AM164" s="245"/>
      <c r="AN164" s="245"/>
      <c r="AO164" s="245"/>
      <c r="AP164" s="245"/>
      <c r="AQ164" s="246"/>
      <c r="AR164" s="246"/>
      <c r="AS164" s="246"/>
      <c r="AT164" s="245"/>
      <c r="AU164" s="245"/>
      <c r="AV164" s="245"/>
      <c r="AW164" s="245"/>
      <c r="AX164" s="245"/>
      <c r="AY164" s="245"/>
      <c r="AZ164" s="245"/>
      <c r="BA164" s="245"/>
      <c r="BB164" s="245"/>
      <c r="BC164" s="245"/>
      <c r="BD164" s="245"/>
      <c r="BE164" s="245"/>
      <c r="BF164" s="245"/>
      <c r="BG164" s="245"/>
      <c r="BH164" s="245"/>
      <c r="BI164" s="245"/>
      <c r="BJ164" s="245"/>
      <c r="BK164" s="245"/>
      <c r="BL164" s="245"/>
      <c r="BM164" s="245"/>
      <c r="BN164" s="245"/>
      <c r="BO164" s="245"/>
      <c r="BP164" s="245"/>
      <c r="BQ164" s="245"/>
      <c r="BR164" s="245"/>
      <c r="BS164" s="245"/>
    </row>
    <row r="165" spans="1:71" ht="12.75" x14ac:dyDescent="0.2">
      <c r="A165" s="248"/>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45"/>
      <c r="AF165" s="245"/>
      <c r="AG165" s="245"/>
      <c r="AH165" s="245"/>
      <c r="AI165" s="245"/>
      <c r="AJ165" s="245"/>
      <c r="AK165" s="245"/>
      <c r="AL165" s="245"/>
      <c r="AM165" s="245"/>
      <c r="AN165" s="245"/>
      <c r="AO165" s="245"/>
      <c r="AP165" s="245"/>
      <c r="AQ165" s="246"/>
      <c r="AR165" s="246"/>
      <c r="AS165" s="246"/>
      <c r="AT165" s="245"/>
      <c r="AU165" s="245"/>
      <c r="AV165" s="245"/>
      <c r="AW165" s="245"/>
      <c r="AX165" s="245"/>
      <c r="AY165" s="245"/>
      <c r="AZ165" s="245"/>
      <c r="BA165" s="245"/>
      <c r="BB165" s="245"/>
      <c r="BC165" s="245"/>
      <c r="BD165" s="245"/>
      <c r="BE165" s="245"/>
      <c r="BF165" s="245"/>
      <c r="BG165" s="245"/>
      <c r="BH165" s="245"/>
      <c r="BI165" s="245"/>
      <c r="BJ165" s="245"/>
      <c r="BK165" s="245"/>
      <c r="BL165" s="245"/>
      <c r="BM165" s="245"/>
      <c r="BN165" s="245"/>
      <c r="BO165" s="245"/>
      <c r="BP165" s="245"/>
      <c r="BQ165" s="245"/>
      <c r="BR165" s="245"/>
      <c r="BS165" s="245"/>
    </row>
    <row r="166" spans="1:71" ht="12.75" x14ac:dyDescent="0.2">
      <c r="A166" s="248"/>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45"/>
      <c r="AF166" s="245"/>
      <c r="AG166" s="245"/>
      <c r="AH166" s="245"/>
      <c r="AI166" s="245"/>
      <c r="AJ166" s="245"/>
      <c r="AK166" s="245"/>
      <c r="AL166" s="245"/>
      <c r="AM166" s="245"/>
      <c r="AN166" s="245"/>
      <c r="AO166" s="245"/>
      <c r="AP166" s="245"/>
      <c r="AQ166" s="246"/>
      <c r="AR166" s="246"/>
      <c r="AS166" s="246"/>
      <c r="AT166" s="245"/>
      <c r="AU166" s="245"/>
      <c r="AV166" s="245"/>
      <c r="AW166" s="245"/>
      <c r="AX166" s="245"/>
      <c r="AY166" s="245"/>
      <c r="AZ166" s="245"/>
      <c r="BA166" s="245"/>
      <c r="BB166" s="245"/>
      <c r="BC166" s="245"/>
      <c r="BD166" s="245"/>
      <c r="BE166" s="245"/>
      <c r="BF166" s="245"/>
      <c r="BG166" s="245"/>
      <c r="BH166" s="245"/>
      <c r="BI166" s="245"/>
      <c r="BJ166" s="245"/>
      <c r="BK166" s="245"/>
      <c r="BL166" s="245"/>
      <c r="BM166" s="245"/>
      <c r="BN166" s="245"/>
      <c r="BO166" s="245"/>
      <c r="BP166" s="245"/>
      <c r="BQ166" s="245"/>
      <c r="BR166" s="245"/>
      <c r="BS166" s="245"/>
    </row>
    <row r="167" spans="1:71" ht="12.75" x14ac:dyDescent="0.2">
      <c r="A167" s="248"/>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45"/>
      <c r="AF167" s="245"/>
      <c r="AG167" s="245"/>
      <c r="AH167" s="245"/>
      <c r="AI167" s="245"/>
      <c r="AJ167" s="245"/>
      <c r="AK167" s="245"/>
      <c r="AL167" s="245"/>
      <c r="AM167" s="245"/>
      <c r="AN167" s="245"/>
      <c r="AO167" s="245"/>
      <c r="AP167" s="245"/>
      <c r="AQ167" s="246"/>
      <c r="AR167" s="246"/>
      <c r="AS167" s="246"/>
      <c r="AT167" s="245"/>
      <c r="AU167" s="245"/>
      <c r="AV167" s="245"/>
      <c r="AW167" s="245"/>
      <c r="AX167" s="245"/>
      <c r="AY167" s="245"/>
      <c r="AZ167" s="245"/>
      <c r="BA167" s="245"/>
      <c r="BB167" s="245"/>
      <c r="BC167" s="245"/>
      <c r="BD167" s="245"/>
      <c r="BE167" s="245"/>
      <c r="BF167" s="245"/>
      <c r="BG167" s="245"/>
      <c r="BH167" s="245"/>
      <c r="BI167" s="245"/>
      <c r="BJ167" s="245"/>
      <c r="BK167" s="245"/>
      <c r="BL167" s="245"/>
      <c r="BM167" s="245"/>
      <c r="BN167" s="245"/>
      <c r="BO167" s="245"/>
      <c r="BP167" s="245"/>
      <c r="BQ167" s="245"/>
      <c r="BR167" s="245"/>
      <c r="BS167" s="245"/>
    </row>
    <row r="168" spans="1:71" ht="12.75" x14ac:dyDescent="0.2">
      <c r="A168" s="248"/>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5"/>
      <c r="AL168" s="245"/>
      <c r="AM168" s="245"/>
      <c r="AN168" s="245"/>
      <c r="AO168" s="245"/>
      <c r="AP168" s="245"/>
      <c r="AQ168" s="246"/>
      <c r="AR168" s="246"/>
      <c r="AS168" s="246"/>
      <c r="AT168" s="245"/>
      <c r="AU168" s="245"/>
      <c r="AV168" s="245"/>
      <c r="AW168" s="245"/>
      <c r="AX168" s="245"/>
      <c r="AY168" s="245"/>
      <c r="AZ168" s="245"/>
      <c r="BA168" s="245"/>
      <c r="BB168" s="245"/>
      <c r="BC168" s="245"/>
      <c r="BD168" s="245"/>
      <c r="BE168" s="245"/>
      <c r="BF168" s="245"/>
      <c r="BG168" s="245"/>
      <c r="BH168" s="245"/>
      <c r="BI168" s="245"/>
      <c r="BJ168" s="245"/>
      <c r="BK168" s="245"/>
      <c r="BL168" s="245"/>
      <c r="BM168" s="245"/>
      <c r="BN168" s="245"/>
      <c r="BO168" s="245"/>
      <c r="BP168" s="245"/>
      <c r="BQ168" s="245"/>
      <c r="BR168" s="245"/>
      <c r="BS168" s="245"/>
    </row>
    <row r="169" spans="1:71" ht="12.75" x14ac:dyDescent="0.2">
      <c r="A169" s="248"/>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245"/>
      <c r="AF169" s="245"/>
      <c r="AG169" s="245"/>
      <c r="AH169" s="245"/>
      <c r="AI169" s="245"/>
      <c r="AJ169" s="245"/>
      <c r="AK169" s="245"/>
      <c r="AL169" s="245"/>
      <c r="AM169" s="245"/>
      <c r="AN169" s="245"/>
      <c r="AO169" s="245"/>
      <c r="AP169" s="245"/>
      <c r="AQ169" s="246"/>
      <c r="AR169" s="246"/>
      <c r="AS169" s="246"/>
      <c r="AT169" s="245"/>
      <c r="AU169" s="245"/>
      <c r="AV169" s="245"/>
      <c r="AW169" s="245"/>
      <c r="AX169" s="245"/>
      <c r="AY169" s="245"/>
      <c r="AZ169" s="245"/>
      <c r="BA169" s="245"/>
      <c r="BB169" s="245"/>
      <c r="BC169" s="245"/>
      <c r="BD169" s="245"/>
      <c r="BE169" s="245"/>
      <c r="BF169" s="245"/>
      <c r="BG169" s="245"/>
      <c r="BH169" s="245"/>
      <c r="BI169" s="245"/>
      <c r="BJ169" s="245"/>
      <c r="BK169" s="245"/>
      <c r="BL169" s="245"/>
      <c r="BM169" s="245"/>
      <c r="BN169" s="245"/>
      <c r="BO169" s="245"/>
      <c r="BP169" s="245"/>
      <c r="BQ169" s="245"/>
      <c r="BR169" s="245"/>
      <c r="BS169" s="245"/>
    </row>
    <row r="170" spans="1:71" ht="12.75" x14ac:dyDescent="0.2">
      <c r="A170" s="248"/>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245"/>
      <c r="AF170" s="245"/>
      <c r="AG170" s="245"/>
      <c r="AH170" s="245"/>
      <c r="AI170" s="245"/>
      <c r="AJ170" s="245"/>
      <c r="AK170" s="245"/>
      <c r="AL170" s="245"/>
      <c r="AM170" s="245"/>
      <c r="AN170" s="245"/>
      <c r="AO170" s="245"/>
      <c r="AP170" s="245"/>
      <c r="AQ170" s="246"/>
      <c r="AR170" s="246"/>
      <c r="AS170" s="246"/>
      <c r="AT170" s="245"/>
      <c r="AU170" s="245"/>
      <c r="AV170" s="245"/>
      <c r="AW170" s="245"/>
      <c r="AX170" s="245"/>
      <c r="AY170" s="245"/>
      <c r="AZ170" s="245"/>
      <c r="BA170" s="245"/>
      <c r="BB170" s="245"/>
      <c r="BC170" s="245"/>
      <c r="BD170" s="245"/>
      <c r="BE170" s="245"/>
      <c r="BF170" s="245"/>
      <c r="BG170" s="245"/>
      <c r="BH170" s="245"/>
      <c r="BI170" s="245"/>
      <c r="BJ170" s="245"/>
      <c r="BK170" s="245"/>
      <c r="BL170" s="245"/>
      <c r="BM170" s="245"/>
      <c r="BN170" s="245"/>
      <c r="BO170" s="245"/>
      <c r="BP170" s="245"/>
      <c r="BQ170" s="245"/>
      <c r="BR170" s="245"/>
      <c r="BS170" s="245"/>
    </row>
    <row r="171" spans="1:71" ht="12.75" x14ac:dyDescent="0.2">
      <c r="A171" s="248"/>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6"/>
      <c r="AR171" s="246"/>
      <c r="AS171" s="246"/>
      <c r="AT171" s="245"/>
      <c r="AU171" s="245"/>
      <c r="AV171" s="245"/>
      <c r="AW171" s="245"/>
      <c r="AX171" s="245"/>
      <c r="AY171" s="245"/>
      <c r="AZ171" s="245"/>
      <c r="BA171" s="245"/>
      <c r="BB171" s="245"/>
      <c r="BC171" s="245"/>
      <c r="BD171" s="245"/>
      <c r="BE171" s="245"/>
      <c r="BF171" s="245"/>
      <c r="BG171" s="245"/>
      <c r="BH171" s="245"/>
      <c r="BI171" s="245"/>
      <c r="BJ171" s="245"/>
      <c r="BK171" s="245"/>
      <c r="BL171" s="245"/>
      <c r="BM171" s="245"/>
      <c r="BN171" s="245"/>
      <c r="BO171" s="245"/>
      <c r="BP171" s="245"/>
      <c r="BQ171" s="245"/>
      <c r="BR171" s="245"/>
      <c r="BS171" s="245"/>
    </row>
    <row r="172" spans="1:71" ht="12.75" x14ac:dyDescent="0.2">
      <c r="A172" s="248"/>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6"/>
      <c r="AR172" s="246"/>
      <c r="AS172" s="246"/>
      <c r="AT172" s="245"/>
      <c r="AU172" s="245"/>
      <c r="AV172" s="245"/>
      <c r="AW172" s="245"/>
      <c r="AX172" s="245"/>
      <c r="AY172" s="245"/>
      <c r="AZ172" s="245"/>
      <c r="BA172" s="245"/>
      <c r="BB172" s="245"/>
      <c r="BC172" s="245"/>
      <c r="BD172" s="245"/>
      <c r="BE172" s="245"/>
      <c r="BF172" s="245"/>
      <c r="BG172" s="245"/>
      <c r="BH172" s="245"/>
      <c r="BI172" s="245"/>
      <c r="BJ172" s="245"/>
      <c r="BK172" s="245"/>
      <c r="BL172" s="245"/>
      <c r="BM172" s="245"/>
      <c r="BN172" s="245"/>
      <c r="BO172" s="245"/>
      <c r="BP172" s="245"/>
      <c r="BQ172" s="245"/>
      <c r="BR172" s="245"/>
      <c r="BS172" s="245"/>
    </row>
    <row r="173" spans="1:71" ht="12.75" x14ac:dyDescent="0.2">
      <c r="A173" s="248"/>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6"/>
      <c r="AR173" s="246"/>
      <c r="AS173" s="246"/>
      <c r="AT173" s="245"/>
      <c r="AU173" s="245"/>
      <c r="AV173" s="245"/>
      <c r="AW173" s="245"/>
      <c r="AX173" s="245"/>
      <c r="AY173" s="245"/>
      <c r="AZ173" s="245"/>
      <c r="BA173" s="245"/>
      <c r="BB173" s="245"/>
      <c r="BC173" s="245"/>
      <c r="BD173" s="245"/>
      <c r="BE173" s="245"/>
      <c r="BF173" s="245"/>
      <c r="BG173" s="245"/>
      <c r="BH173" s="245"/>
      <c r="BI173" s="245"/>
      <c r="BJ173" s="245"/>
      <c r="BK173" s="245"/>
      <c r="BL173" s="245"/>
      <c r="BM173" s="245"/>
      <c r="BN173" s="245"/>
      <c r="BO173" s="245"/>
      <c r="BP173" s="245"/>
      <c r="BQ173" s="245"/>
      <c r="BR173" s="245"/>
      <c r="BS173" s="245"/>
    </row>
    <row r="174" spans="1:71" ht="12.75" x14ac:dyDescent="0.2">
      <c r="A174" s="248"/>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6"/>
      <c r="AR174" s="246"/>
      <c r="AS174" s="246"/>
      <c r="AT174" s="245"/>
      <c r="AU174" s="245"/>
      <c r="AV174" s="245"/>
      <c r="AW174" s="245"/>
      <c r="AX174" s="245"/>
      <c r="AY174" s="245"/>
      <c r="AZ174" s="245"/>
      <c r="BA174" s="245"/>
      <c r="BB174" s="245"/>
      <c r="BC174" s="245"/>
      <c r="BD174" s="245"/>
      <c r="BE174" s="245"/>
      <c r="BF174" s="245"/>
      <c r="BG174" s="245"/>
      <c r="BH174" s="245"/>
      <c r="BI174" s="245"/>
      <c r="BJ174" s="245"/>
      <c r="BK174" s="245"/>
      <c r="BL174" s="245"/>
      <c r="BM174" s="245"/>
      <c r="BN174" s="245"/>
      <c r="BO174" s="245"/>
      <c r="BP174" s="245"/>
      <c r="BQ174" s="245"/>
      <c r="BR174" s="245"/>
      <c r="BS174" s="245"/>
    </row>
    <row r="175" spans="1:71" ht="12.75" x14ac:dyDescent="0.2">
      <c r="A175" s="248"/>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6"/>
      <c r="AR175" s="246"/>
      <c r="AS175" s="246"/>
      <c r="AT175" s="245"/>
      <c r="AU175" s="245"/>
      <c r="AV175" s="245"/>
      <c r="AW175" s="245"/>
      <c r="AX175" s="245"/>
      <c r="AY175" s="245"/>
      <c r="AZ175" s="245"/>
      <c r="BA175" s="245"/>
      <c r="BB175" s="245"/>
      <c r="BC175" s="245"/>
      <c r="BD175" s="245"/>
      <c r="BE175" s="245"/>
      <c r="BF175" s="245"/>
      <c r="BG175" s="245"/>
      <c r="BH175" s="245"/>
      <c r="BI175" s="245"/>
      <c r="BJ175" s="245"/>
      <c r="BK175" s="245"/>
      <c r="BL175" s="245"/>
      <c r="BM175" s="245"/>
      <c r="BN175" s="245"/>
      <c r="BO175" s="245"/>
      <c r="BP175" s="245"/>
      <c r="BQ175" s="245"/>
      <c r="BR175" s="245"/>
      <c r="BS175" s="245"/>
    </row>
    <row r="176" spans="1:71" ht="12.75" x14ac:dyDescent="0.2">
      <c r="A176" s="248"/>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6"/>
      <c r="AR176" s="246"/>
      <c r="AS176" s="246"/>
      <c r="AT176" s="245"/>
      <c r="AU176" s="245"/>
      <c r="AV176" s="245"/>
      <c r="AW176" s="245"/>
      <c r="AX176" s="245"/>
      <c r="AY176" s="245"/>
      <c r="AZ176" s="245"/>
      <c r="BA176" s="245"/>
      <c r="BB176" s="245"/>
      <c r="BC176" s="245"/>
      <c r="BD176" s="245"/>
      <c r="BE176" s="245"/>
      <c r="BF176" s="245"/>
      <c r="BG176" s="245"/>
      <c r="BH176" s="245"/>
      <c r="BI176" s="245"/>
      <c r="BJ176" s="245"/>
      <c r="BK176" s="245"/>
      <c r="BL176" s="245"/>
      <c r="BM176" s="245"/>
      <c r="BN176" s="245"/>
      <c r="BO176" s="245"/>
      <c r="BP176" s="245"/>
      <c r="BQ176" s="245"/>
      <c r="BR176" s="245"/>
      <c r="BS176" s="245"/>
    </row>
    <row r="177" spans="1:71" ht="12.75" x14ac:dyDescent="0.2">
      <c r="A177" s="248"/>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6"/>
      <c r="AR177" s="246"/>
      <c r="AS177" s="246"/>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row>
    <row r="178" spans="1:71" ht="12.75" x14ac:dyDescent="0.2">
      <c r="A178" s="248"/>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c r="AC178" s="245"/>
      <c r="AD178" s="245"/>
      <c r="AE178" s="245"/>
      <c r="AF178" s="245"/>
      <c r="AG178" s="245"/>
      <c r="AH178" s="245"/>
      <c r="AI178" s="245"/>
      <c r="AJ178" s="245"/>
      <c r="AK178" s="245"/>
      <c r="AL178" s="245"/>
      <c r="AM178" s="245"/>
      <c r="AN178" s="245"/>
      <c r="AO178" s="245"/>
      <c r="AP178" s="245"/>
      <c r="AQ178" s="246"/>
      <c r="AR178" s="246"/>
      <c r="AS178" s="246"/>
      <c r="AT178" s="245"/>
      <c r="AU178" s="245"/>
      <c r="AV178" s="245"/>
      <c r="AW178" s="245"/>
      <c r="AX178" s="245"/>
      <c r="AY178" s="245"/>
      <c r="AZ178" s="245"/>
      <c r="BA178" s="245"/>
      <c r="BB178" s="245"/>
      <c r="BC178" s="245"/>
      <c r="BD178" s="245"/>
      <c r="BE178" s="245"/>
      <c r="BF178" s="245"/>
      <c r="BG178" s="245"/>
      <c r="BH178" s="245"/>
      <c r="BI178" s="245"/>
      <c r="BJ178" s="245"/>
      <c r="BK178" s="245"/>
      <c r="BL178" s="245"/>
      <c r="BM178" s="245"/>
      <c r="BN178" s="245"/>
      <c r="BO178" s="245"/>
      <c r="BP178" s="245"/>
      <c r="BQ178" s="245"/>
      <c r="BR178" s="245"/>
      <c r="BS178" s="245"/>
    </row>
    <row r="179" spans="1:71" ht="12.75" x14ac:dyDescent="0.2">
      <c r="A179" s="248"/>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c r="AC179" s="245"/>
      <c r="AD179" s="245"/>
      <c r="AE179" s="245"/>
      <c r="AF179" s="245"/>
      <c r="AG179" s="245"/>
      <c r="AH179" s="245"/>
      <c r="AI179" s="245"/>
      <c r="AJ179" s="245"/>
      <c r="AK179" s="245"/>
      <c r="AL179" s="245"/>
      <c r="AM179" s="245"/>
      <c r="AN179" s="245"/>
      <c r="AO179" s="245"/>
      <c r="AP179" s="245"/>
      <c r="AQ179" s="246"/>
      <c r="AR179" s="246"/>
      <c r="AS179" s="246"/>
      <c r="AT179" s="245"/>
      <c r="AU179" s="245"/>
      <c r="AV179" s="245"/>
      <c r="AW179" s="245"/>
      <c r="AX179" s="245"/>
      <c r="AY179" s="245"/>
      <c r="AZ179" s="245"/>
      <c r="BA179" s="245"/>
      <c r="BB179" s="245"/>
      <c r="BC179" s="245"/>
      <c r="BD179" s="245"/>
      <c r="BE179" s="245"/>
      <c r="BF179" s="245"/>
      <c r="BG179" s="245"/>
      <c r="BH179" s="245"/>
      <c r="BI179" s="245"/>
      <c r="BJ179" s="245"/>
      <c r="BK179" s="245"/>
      <c r="BL179" s="245"/>
      <c r="BM179" s="245"/>
      <c r="BN179" s="245"/>
      <c r="BO179" s="245"/>
      <c r="BP179" s="245"/>
      <c r="BQ179" s="245"/>
      <c r="BR179" s="245"/>
      <c r="BS179" s="245"/>
    </row>
    <row r="180" spans="1:71" ht="12.75" x14ac:dyDescent="0.2">
      <c r="A180" s="248"/>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c r="AC180" s="245"/>
      <c r="AD180" s="245"/>
      <c r="AE180" s="245"/>
      <c r="AF180" s="245"/>
      <c r="AG180" s="245"/>
      <c r="AH180" s="245"/>
      <c r="AI180" s="245"/>
      <c r="AJ180" s="245"/>
      <c r="AK180" s="245"/>
      <c r="AL180" s="245"/>
      <c r="AM180" s="245"/>
      <c r="AN180" s="245"/>
      <c r="AO180" s="245"/>
      <c r="AP180" s="245"/>
      <c r="AQ180" s="246"/>
      <c r="AR180" s="246"/>
      <c r="AS180" s="246"/>
      <c r="AT180" s="245"/>
      <c r="AU180" s="245"/>
      <c r="AV180" s="245"/>
      <c r="AW180" s="245"/>
      <c r="AX180" s="245"/>
      <c r="AY180" s="245"/>
      <c r="AZ180" s="245"/>
      <c r="BA180" s="245"/>
      <c r="BB180" s="245"/>
      <c r="BC180" s="245"/>
      <c r="BD180" s="245"/>
      <c r="BE180" s="245"/>
      <c r="BF180" s="245"/>
      <c r="BG180" s="245"/>
      <c r="BH180" s="245"/>
      <c r="BI180" s="245"/>
      <c r="BJ180" s="245"/>
      <c r="BK180" s="245"/>
      <c r="BL180" s="245"/>
      <c r="BM180" s="245"/>
      <c r="BN180" s="245"/>
      <c r="BO180" s="245"/>
      <c r="BP180" s="245"/>
      <c r="BQ180" s="245"/>
      <c r="BR180" s="245"/>
      <c r="BS180" s="245"/>
    </row>
    <row r="181" spans="1:71" ht="12.75" x14ac:dyDescent="0.2">
      <c r="A181" s="248"/>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6"/>
      <c r="AR181" s="246"/>
      <c r="AS181" s="246"/>
      <c r="AT181" s="245"/>
      <c r="AU181" s="245"/>
      <c r="AV181" s="245"/>
      <c r="AW181" s="245"/>
      <c r="AX181" s="245"/>
      <c r="AY181" s="245"/>
      <c r="AZ181" s="245"/>
      <c r="BA181" s="245"/>
      <c r="BB181" s="245"/>
      <c r="BC181" s="245"/>
      <c r="BD181" s="245"/>
      <c r="BE181" s="245"/>
      <c r="BF181" s="245"/>
      <c r="BG181" s="245"/>
      <c r="BH181" s="245"/>
      <c r="BI181" s="245"/>
      <c r="BJ181" s="245"/>
      <c r="BK181" s="245"/>
      <c r="BL181" s="245"/>
      <c r="BM181" s="245"/>
      <c r="BN181" s="245"/>
      <c r="BO181" s="245"/>
      <c r="BP181" s="245"/>
      <c r="BQ181" s="245"/>
      <c r="BR181" s="245"/>
      <c r="BS181" s="245"/>
    </row>
    <row r="182" spans="1:71" ht="12.75" x14ac:dyDescent="0.2">
      <c r="A182" s="248"/>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6"/>
      <c r="AR182" s="246"/>
      <c r="AS182" s="246"/>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row>
    <row r="183" spans="1:71" ht="12.75" x14ac:dyDescent="0.2">
      <c r="A183" s="248"/>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6"/>
      <c r="AR183" s="246"/>
      <c r="AS183" s="246"/>
      <c r="AT183" s="245"/>
      <c r="AU183" s="245"/>
      <c r="AV183" s="245"/>
      <c r="AW183" s="245"/>
      <c r="AX183" s="245"/>
      <c r="AY183" s="245"/>
      <c r="AZ183" s="245"/>
      <c r="BA183" s="245"/>
      <c r="BB183" s="245"/>
      <c r="BC183" s="245"/>
      <c r="BD183" s="245"/>
      <c r="BE183" s="245"/>
      <c r="BF183" s="245"/>
      <c r="BG183" s="245"/>
      <c r="BH183" s="245"/>
      <c r="BI183" s="245"/>
      <c r="BJ183" s="245"/>
      <c r="BK183" s="245"/>
      <c r="BL183" s="245"/>
      <c r="BM183" s="245"/>
      <c r="BN183" s="245"/>
      <c r="BO183" s="245"/>
      <c r="BP183" s="245"/>
      <c r="BQ183" s="245"/>
      <c r="BR183" s="245"/>
      <c r="BS183" s="245"/>
    </row>
    <row r="184" spans="1:71" ht="12.75" x14ac:dyDescent="0.2">
      <c r="A184" s="248"/>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6"/>
      <c r="AR184" s="246"/>
      <c r="AS184" s="246"/>
      <c r="AT184" s="245"/>
      <c r="AU184" s="245"/>
      <c r="AV184" s="245"/>
      <c r="AW184" s="245"/>
      <c r="AX184" s="245"/>
      <c r="AY184" s="245"/>
      <c r="AZ184" s="245"/>
      <c r="BA184" s="245"/>
      <c r="BB184" s="245"/>
      <c r="BC184" s="245"/>
      <c r="BD184" s="245"/>
      <c r="BE184" s="245"/>
      <c r="BF184" s="245"/>
      <c r="BG184" s="245"/>
      <c r="BH184" s="245"/>
      <c r="BI184" s="245"/>
      <c r="BJ184" s="245"/>
      <c r="BK184" s="245"/>
      <c r="BL184" s="245"/>
      <c r="BM184" s="245"/>
      <c r="BN184" s="245"/>
      <c r="BO184" s="245"/>
      <c r="BP184" s="245"/>
      <c r="BQ184" s="245"/>
      <c r="BR184" s="245"/>
      <c r="BS184" s="245"/>
    </row>
    <row r="185" spans="1:71" ht="12.75" x14ac:dyDescent="0.2">
      <c r="A185" s="248"/>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6"/>
      <c r="AR185" s="246"/>
      <c r="AS185" s="246"/>
      <c r="AT185" s="245"/>
      <c r="AU185" s="245"/>
      <c r="AV185" s="245"/>
      <c r="AW185" s="245"/>
      <c r="AX185" s="245"/>
      <c r="AY185" s="245"/>
      <c r="AZ185" s="245"/>
      <c r="BA185" s="245"/>
      <c r="BB185" s="245"/>
      <c r="BC185" s="245"/>
      <c r="BD185" s="245"/>
      <c r="BE185" s="245"/>
      <c r="BF185" s="245"/>
      <c r="BG185" s="245"/>
      <c r="BH185" s="245"/>
      <c r="BI185" s="245"/>
      <c r="BJ185" s="245"/>
      <c r="BK185" s="245"/>
      <c r="BL185" s="245"/>
      <c r="BM185" s="245"/>
      <c r="BN185" s="245"/>
      <c r="BO185" s="245"/>
      <c r="BP185" s="245"/>
      <c r="BQ185" s="245"/>
      <c r="BR185" s="245"/>
      <c r="BS185" s="245"/>
    </row>
    <row r="186" spans="1:71" ht="12.75" x14ac:dyDescent="0.2">
      <c r="A186" s="248"/>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6"/>
      <c r="AR186" s="246"/>
      <c r="AS186" s="246"/>
      <c r="AT186" s="245"/>
      <c r="AU186" s="245"/>
      <c r="AV186" s="245"/>
      <c r="AW186" s="245"/>
      <c r="AX186" s="245"/>
      <c r="AY186" s="245"/>
      <c r="AZ186" s="245"/>
      <c r="BA186" s="245"/>
      <c r="BB186" s="245"/>
      <c r="BC186" s="245"/>
      <c r="BD186" s="245"/>
      <c r="BE186" s="245"/>
      <c r="BF186" s="245"/>
      <c r="BG186" s="245"/>
      <c r="BH186" s="245"/>
      <c r="BI186" s="245"/>
      <c r="BJ186" s="245"/>
      <c r="BK186" s="245"/>
      <c r="BL186" s="245"/>
      <c r="BM186" s="245"/>
      <c r="BN186" s="245"/>
      <c r="BO186" s="245"/>
      <c r="BP186" s="245"/>
      <c r="BQ186" s="245"/>
      <c r="BR186" s="245"/>
      <c r="BS186" s="245"/>
    </row>
    <row r="187" spans="1:71" ht="12.75" x14ac:dyDescent="0.2">
      <c r="A187" s="248"/>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c r="AK187" s="245"/>
      <c r="AL187" s="245"/>
      <c r="AM187" s="245"/>
      <c r="AN187" s="245"/>
      <c r="AO187" s="245"/>
      <c r="AP187" s="245"/>
      <c r="AQ187" s="246"/>
      <c r="AR187" s="246"/>
      <c r="AS187" s="246"/>
      <c r="AT187" s="245"/>
      <c r="AU187" s="245"/>
      <c r="AV187" s="245"/>
      <c r="AW187" s="245"/>
      <c r="AX187" s="245"/>
      <c r="AY187" s="245"/>
      <c r="AZ187" s="245"/>
      <c r="BA187" s="245"/>
      <c r="BB187" s="245"/>
      <c r="BC187" s="245"/>
      <c r="BD187" s="245"/>
      <c r="BE187" s="245"/>
      <c r="BF187" s="245"/>
      <c r="BG187" s="245"/>
      <c r="BH187" s="245"/>
      <c r="BI187" s="245"/>
      <c r="BJ187" s="245"/>
      <c r="BK187" s="245"/>
      <c r="BL187" s="245"/>
      <c r="BM187" s="245"/>
      <c r="BN187" s="245"/>
      <c r="BO187" s="245"/>
      <c r="BP187" s="245"/>
      <c r="BQ187" s="245"/>
      <c r="BR187" s="245"/>
      <c r="BS187" s="245"/>
    </row>
    <row r="188" spans="1:71" ht="12.75" x14ac:dyDescent="0.2">
      <c r="A188" s="248"/>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c r="AK188" s="245"/>
      <c r="AL188" s="245"/>
      <c r="AM188" s="245"/>
      <c r="AN188" s="245"/>
      <c r="AO188" s="245"/>
      <c r="AP188" s="245"/>
      <c r="AQ188" s="246"/>
      <c r="AR188" s="246"/>
      <c r="AS188" s="246"/>
      <c r="AT188" s="245"/>
      <c r="AU188" s="245"/>
      <c r="AV188" s="245"/>
      <c r="AW188" s="245"/>
      <c r="AX188" s="245"/>
      <c r="AY188" s="245"/>
      <c r="AZ188" s="245"/>
      <c r="BA188" s="245"/>
      <c r="BB188" s="245"/>
      <c r="BC188" s="245"/>
      <c r="BD188" s="245"/>
      <c r="BE188" s="245"/>
      <c r="BF188" s="245"/>
      <c r="BG188" s="245"/>
      <c r="BH188" s="245"/>
      <c r="BI188" s="245"/>
      <c r="BJ188" s="245"/>
      <c r="BK188" s="245"/>
      <c r="BL188" s="245"/>
      <c r="BM188" s="245"/>
      <c r="BN188" s="245"/>
      <c r="BO188" s="245"/>
      <c r="BP188" s="245"/>
      <c r="BQ188" s="245"/>
      <c r="BR188" s="245"/>
      <c r="BS188" s="245"/>
    </row>
    <row r="189" spans="1:71" ht="12.75" x14ac:dyDescent="0.2">
      <c r="A189" s="248"/>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6"/>
      <c r="AR189" s="246"/>
      <c r="AS189" s="246"/>
      <c r="AT189" s="245"/>
      <c r="AU189" s="245"/>
      <c r="AV189" s="245"/>
      <c r="AW189" s="245"/>
      <c r="AX189" s="245"/>
      <c r="AY189" s="245"/>
      <c r="AZ189" s="245"/>
      <c r="BA189" s="245"/>
      <c r="BB189" s="245"/>
      <c r="BC189" s="245"/>
      <c r="BD189" s="245"/>
      <c r="BE189" s="245"/>
      <c r="BF189" s="245"/>
      <c r="BG189" s="245"/>
      <c r="BH189" s="245"/>
      <c r="BI189" s="245"/>
      <c r="BJ189" s="245"/>
      <c r="BK189" s="245"/>
      <c r="BL189" s="245"/>
      <c r="BM189" s="245"/>
      <c r="BN189" s="245"/>
      <c r="BO189" s="245"/>
      <c r="BP189" s="245"/>
      <c r="BQ189" s="245"/>
      <c r="BR189" s="245"/>
      <c r="BS189" s="245"/>
    </row>
    <row r="190" spans="1:71" ht="12.75" x14ac:dyDescent="0.2">
      <c r="A190" s="248"/>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c r="AC190" s="245"/>
      <c r="AD190" s="245"/>
      <c r="AE190" s="245"/>
      <c r="AF190" s="245"/>
      <c r="AG190" s="245"/>
      <c r="AH190" s="245"/>
      <c r="AI190" s="245"/>
      <c r="AJ190" s="245"/>
      <c r="AK190" s="245"/>
      <c r="AL190" s="245"/>
      <c r="AM190" s="245"/>
      <c r="AN190" s="245"/>
      <c r="AO190" s="245"/>
      <c r="AP190" s="245"/>
      <c r="AQ190" s="246"/>
      <c r="AR190" s="246"/>
      <c r="AS190" s="246"/>
      <c r="AT190" s="245"/>
      <c r="AU190" s="245"/>
      <c r="AV190" s="245"/>
      <c r="AW190" s="245"/>
      <c r="AX190" s="245"/>
      <c r="AY190" s="245"/>
      <c r="AZ190" s="245"/>
      <c r="BA190" s="245"/>
      <c r="BB190" s="245"/>
      <c r="BC190" s="245"/>
      <c r="BD190" s="245"/>
      <c r="BE190" s="245"/>
      <c r="BF190" s="245"/>
      <c r="BG190" s="245"/>
      <c r="BH190" s="245"/>
      <c r="BI190" s="245"/>
      <c r="BJ190" s="245"/>
      <c r="BK190" s="245"/>
      <c r="BL190" s="245"/>
      <c r="BM190" s="245"/>
      <c r="BN190" s="245"/>
      <c r="BO190" s="245"/>
      <c r="BP190" s="245"/>
      <c r="BQ190" s="245"/>
      <c r="BR190" s="245"/>
      <c r="BS190" s="245"/>
    </row>
    <row r="191" spans="1:71" ht="12.75" x14ac:dyDescent="0.2">
      <c r="A191" s="248"/>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6"/>
      <c r="AR191" s="246"/>
      <c r="AS191" s="246"/>
      <c r="AT191" s="245"/>
      <c r="AU191" s="245"/>
      <c r="AV191" s="245"/>
      <c r="AW191" s="245"/>
      <c r="AX191" s="245"/>
      <c r="AY191" s="245"/>
      <c r="AZ191" s="245"/>
      <c r="BA191" s="245"/>
      <c r="BB191" s="245"/>
      <c r="BC191" s="245"/>
      <c r="BD191" s="245"/>
      <c r="BE191" s="245"/>
      <c r="BF191" s="245"/>
      <c r="BG191" s="245"/>
      <c r="BH191" s="245"/>
      <c r="BI191" s="245"/>
      <c r="BJ191" s="245"/>
      <c r="BK191" s="245"/>
      <c r="BL191" s="245"/>
      <c r="BM191" s="245"/>
      <c r="BN191" s="245"/>
      <c r="BO191" s="245"/>
      <c r="BP191" s="245"/>
      <c r="BQ191" s="245"/>
      <c r="BR191" s="245"/>
      <c r="BS191" s="245"/>
    </row>
    <row r="192" spans="1:71" ht="12.75" x14ac:dyDescent="0.2">
      <c r="A192" s="248"/>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5"/>
      <c r="AJ192" s="245"/>
      <c r="AK192" s="245"/>
      <c r="AL192" s="245"/>
      <c r="AM192" s="245"/>
      <c r="AN192" s="245"/>
      <c r="AO192" s="245"/>
      <c r="AP192" s="245"/>
      <c r="AQ192" s="246"/>
      <c r="AR192" s="246"/>
      <c r="AS192" s="246"/>
      <c r="AT192" s="245"/>
      <c r="AU192" s="245"/>
      <c r="AV192" s="245"/>
      <c r="AW192" s="245"/>
      <c r="AX192" s="245"/>
      <c r="AY192" s="245"/>
      <c r="AZ192" s="245"/>
      <c r="BA192" s="245"/>
      <c r="BB192" s="245"/>
      <c r="BC192" s="245"/>
      <c r="BD192" s="245"/>
      <c r="BE192" s="245"/>
      <c r="BF192" s="245"/>
      <c r="BG192" s="245"/>
      <c r="BH192" s="245"/>
      <c r="BI192" s="245"/>
      <c r="BJ192" s="245"/>
      <c r="BK192" s="245"/>
      <c r="BL192" s="245"/>
      <c r="BM192" s="245"/>
      <c r="BN192" s="245"/>
      <c r="BO192" s="245"/>
      <c r="BP192" s="245"/>
      <c r="BQ192" s="245"/>
      <c r="BR192" s="245"/>
      <c r="BS192" s="245"/>
    </row>
    <row r="193" spans="1:71" ht="12.75" x14ac:dyDescent="0.2">
      <c r="A193" s="248"/>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5"/>
      <c r="AJ193" s="245"/>
      <c r="AK193" s="245"/>
      <c r="AL193" s="245"/>
      <c r="AM193" s="245"/>
      <c r="AN193" s="245"/>
      <c r="AO193" s="245"/>
      <c r="AP193" s="245"/>
      <c r="AQ193" s="246"/>
      <c r="AR193" s="246"/>
      <c r="AS193" s="246"/>
      <c r="AT193" s="245"/>
      <c r="AU193" s="245"/>
      <c r="AV193" s="245"/>
      <c r="AW193" s="245"/>
      <c r="AX193" s="245"/>
      <c r="AY193" s="245"/>
      <c r="AZ193" s="245"/>
      <c r="BA193" s="245"/>
      <c r="BB193" s="245"/>
      <c r="BC193" s="245"/>
      <c r="BD193" s="245"/>
      <c r="BE193" s="245"/>
      <c r="BF193" s="245"/>
      <c r="BG193" s="245"/>
      <c r="BH193" s="245"/>
      <c r="BI193" s="245"/>
      <c r="BJ193" s="245"/>
      <c r="BK193" s="245"/>
      <c r="BL193" s="245"/>
      <c r="BM193" s="245"/>
      <c r="BN193" s="245"/>
      <c r="BO193" s="245"/>
      <c r="BP193" s="245"/>
      <c r="BQ193" s="245"/>
      <c r="BR193" s="245"/>
      <c r="BS193" s="245"/>
    </row>
    <row r="194" spans="1:71" ht="12.75" x14ac:dyDescent="0.2">
      <c r="A194" s="248"/>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c r="AC194" s="245"/>
      <c r="AD194" s="245"/>
      <c r="AE194" s="245"/>
      <c r="AF194" s="245"/>
      <c r="AG194" s="245"/>
      <c r="AH194" s="245"/>
      <c r="AI194" s="245"/>
      <c r="AJ194" s="245"/>
      <c r="AK194" s="245"/>
      <c r="AL194" s="245"/>
      <c r="AM194" s="245"/>
      <c r="AN194" s="245"/>
      <c r="AO194" s="245"/>
      <c r="AP194" s="245"/>
      <c r="AQ194" s="246"/>
      <c r="AR194" s="246"/>
      <c r="AS194" s="246"/>
      <c r="AT194" s="245"/>
      <c r="AU194" s="245"/>
      <c r="AV194" s="245"/>
      <c r="AW194" s="245"/>
      <c r="AX194" s="245"/>
      <c r="AY194" s="245"/>
      <c r="AZ194" s="245"/>
      <c r="BA194" s="245"/>
      <c r="BB194" s="245"/>
      <c r="BC194" s="245"/>
      <c r="BD194" s="245"/>
      <c r="BE194" s="245"/>
      <c r="BF194" s="245"/>
      <c r="BG194" s="245"/>
      <c r="BH194" s="245"/>
      <c r="BI194" s="245"/>
      <c r="BJ194" s="245"/>
      <c r="BK194" s="245"/>
      <c r="BL194" s="245"/>
      <c r="BM194" s="245"/>
      <c r="BN194" s="245"/>
      <c r="BO194" s="245"/>
      <c r="BP194" s="245"/>
      <c r="BQ194" s="245"/>
      <c r="BR194" s="245"/>
      <c r="BS194" s="245"/>
    </row>
    <row r="195" spans="1:71" ht="12.75" x14ac:dyDescent="0.2">
      <c r="A195" s="248"/>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6"/>
      <c r="AR195" s="246"/>
      <c r="AS195" s="246"/>
      <c r="AT195" s="245"/>
      <c r="AU195" s="245"/>
      <c r="AV195" s="245"/>
      <c r="AW195" s="245"/>
      <c r="AX195" s="245"/>
      <c r="AY195" s="245"/>
      <c r="AZ195" s="245"/>
      <c r="BA195" s="245"/>
      <c r="BB195" s="245"/>
      <c r="BC195" s="245"/>
      <c r="BD195" s="245"/>
      <c r="BE195" s="245"/>
      <c r="BF195" s="245"/>
      <c r="BG195" s="245"/>
      <c r="BH195" s="245"/>
      <c r="BI195" s="245"/>
      <c r="BJ195" s="245"/>
      <c r="BK195" s="245"/>
      <c r="BL195" s="245"/>
      <c r="BM195" s="245"/>
      <c r="BN195" s="245"/>
      <c r="BO195" s="245"/>
      <c r="BP195" s="245"/>
      <c r="BQ195" s="245"/>
      <c r="BR195" s="245"/>
      <c r="BS195" s="245"/>
    </row>
    <row r="196" spans="1:71" ht="12.75" x14ac:dyDescent="0.2">
      <c r="A196" s="248"/>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c r="AC196" s="245"/>
      <c r="AD196" s="245"/>
      <c r="AE196" s="245"/>
      <c r="AF196" s="245"/>
      <c r="AG196" s="245"/>
      <c r="AH196" s="245"/>
      <c r="AI196" s="245"/>
      <c r="AJ196" s="245"/>
      <c r="AK196" s="245"/>
      <c r="AL196" s="245"/>
      <c r="AM196" s="245"/>
      <c r="AN196" s="245"/>
      <c r="AO196" s="245"/>
      <c r="AP196" s="245"/>
      <c r="AQ196" s="246"/>
      <c r="AR196" s="246"/>
      <c r="AS196" s="246"/>
      <c r="AT196" s="245"/>
      <c r="AU196" s="245"/>
      <c r="AV196" s="245"/>
      <c r="AW196" s="245"/>
      <c r="AX196" s="245"/>
      <c r="AY196" s="245"/>
      <c r="AZ196" s="245"/>
      <c r="BA196" s="245"/>
      <c r="BB196" s="245"/>
      <c r="BC196" s="245"/>
      <c r="BD196" s="245"/>
      <c r="BE196" s="245"/>
      <c r="BF196" s="245"/>
      <c r="BG196" s="245"/>
      <c r="BH196" s="245"/>
      <c r="BI196" s="245"/>
      <c r="BJ196" s="245"/>
      <c r="BK196" s="245"/>
      <c r="BL196" s="245"/>
      <c r="BM196" s="245"/>
      <c r="BN196" s="245"/>
      <c r="BO196" s="245"/>
      <c r="BP196" s="245"/>
      <c r="BQ196" s="245"/>
      <c r="BR196" s="245"/>
      <c r="BS196" s="245"/>
    </row>
    <row r="197" spans="1:71" ht="12.75" x14ac:dyDescent="0.2">
      <c r="A197" s="248"/>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6"/>
      <c r="AR197" s="246"/>
      <c r="AS197" s="246"/>
      <c r="AT197" s="245"/>
      <c r="AU197" s="245"/>
      <c r="AV197" s="245"/>
      <c r="AW197" s="245"/>
      <c r="AX197" s="245"/>
      <c r="AY197" s="245"/>
      <c r="AZ197" s="245"/>
      <c r="BA197" s="245"/>
      <c r="BB197" s="245"/>
      <c r="BC197" s="245"/>
      <c r="BD197" s="245"/>
      <c r="BE197" s="245"/>
      <c r="BF197" s="245"/>
      <c r="BG197" s="245"/>
      <c r="BH197" s="245"/>
      <c r="BI197" s="245"/>
      <c r="BJ197" s="245"/>
      <c r="BK197" s="245"/>
      <c r="BL197" s="245"/>
      <c r="BM197" s="245"/>
      <c r="BN197" s="245"/>
      <c r="BO197" s="245"/>
      <c r="BP197" s="245"/>
      <c r="BQ197" s="245"/>
      <c r="BR197" s="245"/>
      <c r="BS197" s="245"/>
    </row>
    <row r="198" spans="1:71" ht="12.75" x14ac:dyDescent="0.2">
      <c r="A198" s="248"/>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245"/>
      <c r="AL198" s="245"/>
      <c r="AM198" s="245"/>
      <c r="AN198" s="245"/>
      <c r="AO198" s="245"/>
      <c r="AP198" s="245"/>
      <c r="AQ198" s="246"/>
      <c r="AR198" s="246"/>
      <c r="AS198" s="246"/>
      <c r="AT198" s="245"/>
      <c r="AU198" s="245"/>
      <c r="AV198" s="245"/>
      <c r="AW198" s="245"/>
      <c r="AX198" s="245"/>
      <c r="AY198" s="245"/>
      <c r="AZ198" s="245"/>
      <c r="BA198" s="245"/>
      <c r="BB198" s="245"/>
      <c r="BC198" s="245"/>
      <c r="BD198" s="245"/>
      <c r="BE198" s="245"/>
      <c r="BF198" s="245"/>
      <c r="BG198" s="245"/>
      <c r="BH198" s="245"/>
      <c r="BI198" s="245"/>
      <c r="BJ198" s="245"/>
      <c r="BK198" s="245"/>
      <c r="BL198" s="245"/>
      <c r="BM198" s="245"/>
      <c r="BN198" s="245"/>
      <c r="BO198" s="245"/>
      <c r="BP198" s="245"/>
      <c r="BQ198" s="245"/>
      <c r="BR198" s="245"/>
      <c r="BS198" s="245"/>
    </row>
    <row r="199" spans="1:71" ht="12.75" x14ac:dyDescent="0.2">
      <c r="A199" s="248"/>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6"/>
      <c r="AR199" s="246"/>
      <c r="AS199" s="246"/>
      <c r="AT199" s="245"/>
      <c r="AU199" s="245"/>
      <c r="AV199" s="245"/>
      <c r="AW199" s="245"/>
      <c r="AX199" s="245"/>
      <c r="AY199" s="245"/>
      <c r="AZ199" s="245"/>
      <c r="BA199" s="245"/>
      <c r="BB199" s="245"/>
      <c r="BC199" s="245"/>
      <c r="BD199" s="245"/>
      <c r="BE199" s="245"/>
      <c r="BF199" s="245"/>
      <c r="BG199" s="245"/>
      <c r="BH199" s="245"/>
      <c r="BI199" s="245"/>
      <c r="BJ199" s="245"/>
      <c r="BK199" s="245"/>
      <c r="BL199" s="245"/>
      <c r="BM199" s="245"/>
      <c r="BN199" s="245"/>
      <c r="BO199" s="245"/>
      <c r="BP199" s="245"/>
      <c r="BQ199" s="245"/>
      <c r="BR199" s="245"/>
      <c r="BS199" s="245"/>
    </row>
    <row r="200" spans="1:71" ht="12.75" x14ac:dyDescent="0.2">
      <c r="A200" s="248"/>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5"/>
      <c r="AN200" s="245"/>
      <c r="AO200" s="245"/>
      <c r="AP200" s="245"/>
      <c r="AQ200" s="246"/>
      <c r="AR200" s="246"/>
      <c r="AS200" s="246"/>
      <c r="AT200" s="245"/>
      <c r="AU200" s="245"/>
      <c r="AV200" s="245"/>
      <c r="AW200" s="245"/>
      <c r="AX200" s="245"/>
      <c r="AY200" s="245"/>
      <c r="AZ200" s="245"/>
      <c r="BA200" s="245"/>
      <c r="BB200" s="245"/>
      <c r="BC200" s="245"/>
      <c r="BD200" s="245"/>
      <c r="BE200" s="245"/>
      <c r="BF200" s="245"/>
      <c r="BG200" s="245"/>
      <c r="BH200" s="245"/>
      <c r="BI200" s="245"/>
      <c r="BJ200" s="245"/>
      <c r="BK200" s="245"/>
      <c r="BL200" s="245"/>
      <c r="BM200" s="245"/>
      <c r="BN200" s="245"/>
      <c r="BO200" s="245"/>
      <c r="BP200" s="245"/>
      <c r="BQ200" s="245"/>
      <c r="BR200" s="245"/>
      <c r="BS200" s="245"/>
    </row>
    <row r="201" spans="1:71" ht="12.75" x14ac:dyDescent="0.2">
      <c r="A201" s="248"/>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6"/>
      <c r="AR201" s="246"/>
      <c r="AS201" s="246"/>
      <c r="AT201" s="245"/>
      <c r="AU201" s="245"/>
      <c r="AV201" s="245"/>
      <c r="AW201" s="245"/>
      <c r="AX201" s="245"/>
      <c r="AY201" s="245"/>
      <c r="AZ201" s="245"/>
      <c r="BA201" s="245"/>
      <c r="BB201" s="245"/>
      <c r="BC201" s="245"/>
      <c r="BD201" s="245"/>
      <c r="BE201" s="245"/>
      <c r="BF201" s="245"/>
      <c r="BG201" s="245"/>
      <c r="BH201" s="245"/>
      <c r="BI201" s="245"/>
      <c r="BJ201" s="245"/>
      <c r="BK201" s="245"/>
      <c r="BL201" s="245"/>
      <c r="BM201" s="245"/>
      <c r="BN201" s="245"/>
      <c r="BO201" s="245"/>
      <c r="BP201" s="245"/>
      <c r="BQ201" s="245"/>
      <c r="BR201" s="245"/>
      <c r="BS201" s="245"/>
    </row>
    <row r="202" spans="1:71" ht="12.75" x14ac:dyDescent="0.2">
      <c r="A202" s="248"/>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5"/>
      <c r="AN202" s="245"/>
      <c r="AO202" s="245"/>
      <c r="AP202" s="245"/>
      <c r="AQ202" s="246"/>
      <c r="AR202" s="246"/>
      <c r="AS202" s="246"/>
      <c r="AT202" s="245"/>
      <c r="AU202" s="245"/>
      <c r="AV202" s="245"/>
      <c r="AW202" s="245"/>
      <c r="AX202" s="245"/>
      <c r="AY202" s="245"/>
      <c r="AZ202" s="245"/>
      <c r="BA202" s="245"/>
      <c r="BB202" s="245"/>
      <c r="BC202" s="245"/>
      <c r="BD202" s="245"/>
      <c r="BE202" s="245"/>
      <c r="BF202" s="245"/>
      <c r="BG202" s="245"/>
      <c r="BH202" s="245"/>
      <c r="BI202" s="245"/>
      <c r="BJ202" s="245"/>
      <c r="BK202" s="245"/>
      <c r="BL202" s="245"/>
      <c r="BM202" s="245"/>
      <c r="BN202" s="245"/>
      <c r="BO202" s="245"/>
      <c r="BP202" s="245"/>
      <c r="BQ202" s="245"/>
      <c r="BR202" s="245"/>
      <c r="BS202" s="245"/>
    </row>
    <row r="203" spans="1:71" ht="12.75" x14ac:dyDescent="0.2">
      <c r="A203" s="248"/>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6"/>
      <c r="AR203" s="246"/>
      <c r="AS203" s="246"/>
      <c r="AT203" s="245"/>
      <c r="AU203" s="245"/>
      <c r="AV203" s="245"/>
      <c r="AW203" s="245"/>
      <c r="AX203" s="245"/>
      <c r="AY203" s="245"/>
      <c r="AZ203" s="245"/>
      <c r="BA203" s="245"/>
      <c r="BB203" s="245"/>
      <c r="BC203" s="245"/>
      <c r="BD203" s="245"/>
      <c r="BE203" s="245"/>
      <c r="BF203" s="245"/>
      <c r="BG203" s="245"/>
      <c r="BH203" s="245"/>
      <c r="BI203" s="245"/>
      <c r="BJ203" s="245"/>
      <c r="BK203" s="245"/>
      <c r="BL203" s="245"/>
      <c r="BM203" s="245"/>
      <c r="BN203" s="245"/>
      <c r="BO203" s="245"/>
      <c r="BP203" s="245"/>
      <c r="BQ203" s="245"/>
      <c r="BR203" s="245"/>
      <c r="BS203" s="245"/>
    </row>
    <row r="204" spans="1:71" ht="12.75" x14ac:dyDescent="0.2">
      <c r="A204" s="248"/>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c r="AC204" s="245"/>
      <c r="AD204" s="245"/>
      <c r="AE204" s="245"/>
      <c r="AF204" s="245"/>
      <c r="AG204" s="245"/>
      <c r="AH204" s="245"/>
      <c r="AI204" s="245"/>
      <c r="AJ204" s="245"/>
      <c r="AK204" s="245"/>
      <c r="AL204" s="245"/>
      <c r="AM204" s="245"/>
      <c r="AN204" s="245"/>
      <c r="AO204" s="245"/>
      <c r="AP204" s="245"/>
      <c r="AQ204" s="246"/>
      <c r="AR204" s="246"/>
      <c r="AS204" s="246"/>
      <c r="AT204" s="245"/>
      <c r="AU204" s="245"/>
      <c r="AV204" s="245"/>
      <c r="AW204" s="245"/>
      <c r="AX204" s="245"/>
      <c r="AY204" s="245"/>
      <c r="AZ204" s="245"/>
      <c r="BA204" s="245"/>
      <c r="BB204" s="245"/>
      <c r="BC204" s="245"/>
      <c r="BD204" s="245"/>
      <c r="BE204" s="245"/>
      <c r="BF204" s="245"/>
      <c r="BG204" s="245"/>
      <c r="BH204" s="245"/>
      <c r="BI204" s="245"/>
      <c r="BJ204" s="245"/>
      <c r="BK204" s="245"/>
      <c r="BL204" s="245"/>
      <c r="BM204" s="245"/>
      <c r="BN204" s="245"/>
      <c r="BO204" s="245"/>
      <c r="BP204" s="245"/>
      <c r="BQ204" s="245"/>
      <c r="BR204" s="245"/>
      <c r="BS204" s="245"/>
    </row>
    <row r="205" spans="1:71" ht="12.75" x14ac:dyDescent="0.2">
      <c r="A205" s="248"/>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6"/>
      <c r="AR205" s="246"/>
      <c r="AS205" s="246"/>
      <c r="AT205" s="245"/>
      <c r="AU205" s="245"/>
      <c r="AV205" s="245"/>
      <c r="AW205" s="245"/>
      <c r="AX205" s="245"/>
      <c r="AY205" s="245"/>
      <c r="AZ205" s="245"/>
      <c r="BA205" s="245"/>
      <c r="BB205" s="245"/>
      <c r="BC205" s="245"/>
      <c r="BD205" s="245"/>
      <c r="BE205" s="245"/>
      <c r="BF205" s="245"/>
      <c r="BG205" s="245"/>
      <c r="BH205" s="245"/>
      <c r="BI205" s="245"/>
      <c r="BJ205" s="245"/>
      <c r="BK205" s="245"/>
      <c r="BL205" s="245"/>
      <c r="BM205" s="245"/>
      <c r="BN205" s="245"/>
      <c r="BO205" s="245"/>
      <c r="BP205" s="245"/>
      <c r="BQ205" s="245"/>
      <c r="BR205" s="245"/>
      <c r="BS205" s="245"/>
    </row>
    <row r="206" spans="1:71" ht="12.75" x14ac:dyDescent="0.2">
      <c r="A206" s="248"/>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c r="AC206" s="245"/>
      <c r="AD206" s="245"/>
      <c r="AE206" s="245"/>
      <c r="AF206" s="245"/>
      <c r="AG206" s="245"/>
      <c r="AH206" s="245"/>
      <c r="AI206" s="245"/>
      <c r="AJ206" s="245"/>
      <c r="AK206" s="245"/>
      <c r="AL206" s="245"/>
      <c r="AM206" s="245"/>
      <c r="AN206" s="245"/>
      <c r="AO206" s="245"/>
      <c r="AP206" s="245"/>
      <c r="AQ206" s="246"/>
      <c r="AR206" s="246"/>
      <c r="AS206" s="246"/>
      <c r="AT206" s="245"/>
      <c r="AU206" s="245"/>
      <c r="AV206" s="245"/>
      <c r="AW206" s="245"/>
      <c r="AX206" s="245"/>
      <c r="AY206" s="245"/>
      <c r="AZ206" s="245"/>
      <c r="BA206" s="245"/>
      <c r="BB206" s="245"/>
      <c r="BC206" s="245"/>
      <c r="BD206" s="245"/>
      <c r="BE206" s="245"/>
      <c r="BF206" s="245"/>
      <c r="BG206" s="245"/>
      <c r="BH206" s="245"/>
      <c r="BI206" s="245"/>
      <c r="BJ206" s="245"/>
      <c r="BK206" s="245"/>
      <c r="BL206" s="245"/>
      <c r="BM206" s="245"/>
      <c r="BN206" s="245"/>
      <c r="BO206" s="245"/>
      <c r="BP206" s="245"/>
      <c r="BQ206" s="245"/>
      <c r="BR206" s="245"/>
      <c r="BS206" s="245"/>
    </row>
    <row r="207" spans="1:71" ht="12.75" x14ac:dyDescent="0.2">
      <c r="A207" s="248"/>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6"/>
      <c r="AR207" s="246"/>
      <c r="AS207" s="246"/>
      <c r="AT207" s="245"/>
      <c r="AU207" s="245"/>
      <c r="AV207" s="245"/>
      <c r="AW207" s="245"/>
      <c r="AX207" s="245"/>
      <c r="AY207" s="245"/>
      <c r="AZ207" s="245"/>
      <c r="BA207" s="245"/>
      <c r="BB207" s="245"/>
      <c r="BC207" s="245"/>
      <c r="BD207" s="245"/>
      <c r="BE207" s="245"/>
      <c r="BF207" s="245"/>
      <c r="BG207" s="245"/>
      <c r="BH207" s="245"/>
      <c r="BI207" s="245"/>
      <c r="BJ207" s="245"/>
      <c r="BK207" s="245"/>
      <c r="BL207" s="245"/>
      <c r="BM207" s="245"/>
      <c r="BN207" s="245"/>
      <c r="BO207" s="245"/>
      <c r="BP207" s="245"/>
      <c r="BQ207" s="245"/>
      <c r="BR207" s="245"/>
      <c r="BS207" s="245"/>
    </row>
    <row r="208" spans="1:71" ht="12.75" x14ac:dyDescent="0.2">
      <c r="A208" s="248"/>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c r="AC208" s="245"/>
      <c r="AD208" s="245"/>
      <c r="AE208" s="245"/>
      <c r="AF208" s="245"/>
      <c r="AG208" s="245"/>
      <c r="AH208" s="245"/>
      <c r="AI208" s="245"/>
      <c r="AJ208" s="245"/>
      <c r="AK208" s="245"/>
      <c r="AL208" s="245"/>
      <c r="AM208" s="245"/>
      <c r="AN208" s="245"/>
      <c r="AO208" s="245"/>
      <c r="AP208" s="245"/>
      <c r="AQ208" s="246"/>
      <c r="AR208" s="246"/>
      <c r="AS208" s="246"/>
      <c r="AT208" s="245"/>
      <c r="AU208" s="245"/>
      <c r="AV208" s="245"/>
      <c r="AW208" s="245"/>
      <c r="AX208" s="245"/>
      <c r="AY208" s="245"/>
      <c r="AZ208" s="245"/>
      <c r="BA208" s="245"/>
      <c r="BB208" s="245"/>
      <c r="BC208" s="245"/>
      <c r="BD208" s="245"/>
      <c r="BE208" s="245"/>
      <c r="BF208" s="245"/>
      <c r="BG208" s="245"/>
      <c r="BH208" s="245"/>
      <c r="BI208" s="245"/>
      <c r="BJ208" s="245"/>
      <c r="BK208" s="245"/>
      <c r="BL208" s="245"/>
      <c r="BM208" s="245"/>
      <c r="BN208" s="245"/>
      <c r="BO208" s="245"/>
      <c r="BP208" s="245"/>
      <c r="BQ208" s="245"/>
      <c r="BR208" s="245"/>
      <c r="BS208" s="24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2" zoomScale="60" workbookViewId="0">
      <selection activeCell="J43" sqref="J43"/>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2" t="str">
        <f>'2. паспорт  ТП'!A4:S4</f>
        <v>Год раскрытия информации: 2022 год</v>
      </c>
      <c r="B5" s="412"/>
      <c r="C5" s="412"/>
      <c r="D5" s="412"/>
      <c r="E5" s="412"/>
      <c r="F5" s="412"/>
      <c r="G5" s="412"/>
      <c r="H5" s="412"/>
      <c r="I5" s="412"/>
      <c r="J5" s="412"/>
      <c r="K5" s="412"/>
      <c r="L5" s="412"/>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26" t="s">
        <v>7</v>
      </c>
      <c r="B7" s="426"/>
      <c r="C7" s="426"/>
      <c r="D7" s="426"/>
      <c r="E7" s="426"/>
      <c r="F7" s="426"/>
      <c r="G7" s="426"/>
      <c r="H7" s="426"/>
      <c r="I7" s="426"/>
      <c r="J7" s="426"/>
      <c r="K7" s="426"/>
      <c r="L7" s="426"/>
    </row>
    <row r="8" spans="1:44" ht="18.75" x14ac:dyDescent="0.25">
      <c r="A8" s="426"/>
      <c r="B8" s="426"/>
      <c r="C8" s="426"/>
      <c r="D8" s="426"/>
      <c r="E8" s="426"/>
      <c r="F8" s="426"/>
      <c r="G8" s="426"/>
      <c r="H8" s="426"/>
      <c r="I8" s="426"/>
      <c r="J8" s="426"/>
      <c r="K8" s="426"/>
      <c r="L8" s="426"/>
    </row>
    <row r="9" spans="1:44"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row>
    <row r="10" spans="1:44" x14ac:dyDescent="0.25">
      <c r="A10" s="422" t="s">
        <v>6</v>
      </c>
      <c r="B10" s="422"/>
      <c r="C10" s="422"/>
      <c r="D10" s="422"/>
      <c r="E10" s="422"/>
      <c r="F10" s="422"/>
      <c r="G10" s="422"/>
      <c r="H10" s="422"/>
      <c r="I10" s="422"/>
      <c r="J10" s="422"/>
      <c r="K10" s="422"/>
      <c r="L10" s="422"/>
    </row>
    <row r="11" spans="1:44" ht="18.75" x14ac:dyDescent="0.25">
      <c r="A11" s="426"/>
      <c r="B11" s="426"/>
      <c r="C11" s="426"/>
      <c r="D11" s="426"/>
      <c r="E11" s="426"/>
      <c r="F11" s="426"/>
      <c r="G11" s="426"/>
      <c r="H11" s="426"/>
      <c r="I11" s="426"/>
      <c r="J11" s="426"/>
      <c r="K11" s="426"/>
      <c r="L11" s="426"/>
    </row>
    <row r="12" spans="1:44" x14ac:dyDescent="0.25">
      <c r="A12" s="420" t="str">
        <f>'1. паспорт местоположение'!A12:C12</f>
        <v>I_16-0064</v>
      </c>
      <c r="B12" s="420"/>
      <c r="C12" s="420"/>
      <c r="D12" s="420"/>
      <c r="E12" s="420"/>
      <c r="F12" s="420"/>
      <c r="G12" s="420"/>
      <c r="H12" s="420"/>
      <c r="I12" s="420"/>
      <c r="J12" s="420"/>
      <c r="K12" s="420"/>
      <c r="L12" s="420"/>
    </row>
    <row r="13" spans="1:44" x14ac:dyDescent="0.25">
      <c r="A13" s="422" t="s">
        <v>5</v>
      </c>
      <c r="B13" s="422"/>
      <c r="C13" s="422"/>
      <c r="D13" s="422"/>
      <c r="E13" s="422"/>
      <c r="F13" s="422"/>
      <c r="G13" s="422"/>
      <c r="H13" s="422"/>
      <c r="I13" s="422"/>
      <c r="J13" s="422"/>
      <c r="K13" s="422"/>
      <c r="L13" s="422"/>
    </row>
    <row r="14" spans="1:44" ht="18.75" x14ac:dyDescent="0.25">
      <c r="A14" s="427"/>
      <c r="B14" s="427"/>
      <c r="C14" s="427"/>
      <c r="D14" s="427"/>
      <c r="E14" s="427"/>
      <c r="F14" s="427"/>
      <c r="G14" s="427"/>
      <c r="H14" s="427"/>
      <c r="I14" s="427"/>
      <c r="J14" s="427"/>
      <c r="K14" s="427"/>
      <c r="L14" s="427"/>
    </row>
    <row r="15" spans="1:44" x14ac:dyDescent="0.25">
      <c r="A15" s="420"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5" s="420"/>
      <c r="C15" s="420"/>
      <c r="D15" s="420"/>
      <c r="E15" s="420"/>
      <c r="F15" s="420"/>
      <c r="G15" s="420"/>
      <c r="H15" s="420"/>
      <c r="I15" s="420"/>
      <c r="J15" s="420"/>
      <c r="K15" s="420"/>
      <c r="L15" s="420"/>
    </row>
    <row r="16" spans="1:44" x14ac:dyDescent="0.25">
      <c r="A16" s="422" t="s">
        <v>4</v>
      </c>
      <c r="B16" s="422"/>
      <c r="C16" s="422"/>
      <c r="D16" s="422"/>
      <c r="E16" s="422"/>
      <c r="F16" s="422"/>
      <c r="G16" s="422"/>
      <c r="H16" s="422"/>
      <c r="I16" s="422"/>
      <c r="J16" s="422"/>
      <c r="K16" s="422"/>
      <c r="L16" s="422"/>
    </row>
    <row r="17" spans="1:12" ht="15.75" customHeight="1" x14ac:dyDescent="0.25">
      <c r="L17" s="97"/>
    </row>
    <row r="18" spans="1:12" x14ac:dyDescent="0.25">
      <c r="K18" s="96"/>
    </row>
    <row r="19" spans="1:12" ht="15.75" customHeight="1" x14ac:dyDescent="0.25">
      <c r="A19" s="483" t="s">
        <v>495</v>
      </c>
      <c r="B19" s="483"/>
      <c r="C19" s="483"/>
      <c r="D19" s="483"/>
      <c r="E19" s="483"/>
      <c r="F19" s="483"/>
      <c r="G19" s="483"/>
      <c r="H19" s="483"/>
      <c r="I19" s="483"/>
      <c r="J19" s="483"/>
      <c r="K19" s="483"/>
      <c r="L19" s="483"/>
    </row>
    <row r="20" spans="1:12" x14ac:dyDescent="0.25">
      <c r="A20" s="65"/>
      <c r="B20" s="65"/>
      <c r="C20" s="95"/>
      <c r="D20" s="95"/>
      <c r="E20" s="95"/>
      <c r="F20" s="95"/>
      <c r="G20" s="95"/>
      <c r="H20" s="95"/>
      <c r="I20" s="95"/>
      <c r="J20" s="95"/>
      <c r="K20" s="95"/>
      <c r="L20" s="95"/>
    </row>
    <row r="21" spans="1:12" ht="28.5" customHeight="1" x14ac:dyDescent="0.25">
      <c r="A21" s="484" t="s">
        <v>218</v>
      </c>
      <c r="B21" s="484" t="s">
        <v>217</v>
      </c>
      <c r="C21" s="490" t="s">
        <v>427</v>
      </c>
      <c r="D21" s="490"/>
      <c r="E21" s="490"/>
      <c r="F21" s="490"/>
      <c r="G21" s="490"/>
      <c r="H21" s="490"/>
      <c r="I21" s="485" t="s">
        <v>216</v>
      </c>
      <c r="J21" s="487" t="s">
        <v>429</v>
      </c>
      <c r="K21" s="484" t="s">
        <v>215</v>
      </c>
      <c r="L21" s="486" t="s">
        <v>428</v>
      </c>
    </row>
    <row r="22" spans="1:12" ht="58.5" customHeight="1" x14ac:dyDescent="0.25">
      <c r="A22" s="484"/>
      <c r="B22" s="484"/>
      <c r="C22" s="491" t="s">
        <v>2</v>
      </c>
      <c r="D22" s="491"/>
      <c r="E22" s="492" t="s">
        <v>641</v>
      </c>
      <c r="F22" s="493"/>
      <c r="G22" s="492" t="s">
        <v>646</v>
      </c>
      <c r="H22" s="493"/>
      <c r="I22" s="485"/>
      <c r="J22" s="488"/>
      <c r="K22" s="484"/>
      <c r="L22" s="486"/>
    </row>
    <row r="23" spans="1:12" ht="31.5" x14ac:dyDescent="0.25">
      <c r="A23" s="484"/>
      <c r="B23" s="484"/>
      <c r="C23" s="94" t="s">
        <v>214</v>
      </c>
      <c r="D23" s="94" t="s">
        <v>213</v>
      </c>
      <c r="E23" s="94" t="s">
        <v>214</v>
      </c>
      <c r="F23" s="94" t="s">
        <v>213</v>
      </c>
      <c r="G23" s="94" t="s">
        <v>214</v>
      </c>
      <c r="H23" s="94" t="s">
        <v>213</v>
      </c>
      <c r="I23" s="485"/>
      <c r="J23" s="489"/>
      <c r="K23" s="484"/>
      <c r="L23" s="486"/>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644</v>
      </c>
      <c r="D26" s="305" t="s">
        <v>644</v>
      </c>
      <c r="E26" s="306">
        <v>40820</v>
      </c>
      <c r="F26" s="306">
        <v>40820</v>
      </c>
      <c r="G26" s="305"/>
      <c r="H26" s="306">
        <v>42338</v>
      </c>
      <c r="I26" s="305">
        <v>100</v>
      </c>
      <c r="J26" s="305"/>
      <c r="K26" s="86"/>
      <c r="L26" s="86"/>
    </row>
    <row r="27" spans="1:12" s="68" customFormat="1" ht="39" customHeight="1" x14ac:dyDescent="0.25">
      <c r="A27" s="89" t="s">
        <v>210</v>
      </c>
      <c r="B27" s="93" t="s">
        <v>436</v>
      </c>
      <c r="C27" s="87" t="s">
        <v>644</v>
      </c>
      <c r="D27" s="305" t="s">
        <v>644</v>
      </c>
      <c r="E27" s="305" t="s">
        <v>531</v>
      </c>
      <c r="F27" s="305" t="s">
        <v>531</v>
      </c>
      <c r="G27" s="305" t="s">
        <v>531</v>
      </c>
      <c r="H27" s="305" t="s">
        <v>531</v>
      </c>
      <c r="I27" s="305"/>
      <c r="J27" s="305"/>
      <c r="K27" s="86"/>
      <c r="L27" s="86"/>
    </row>
    <row r="28" spans="1:12" s="68" customFormat="1" ht="70.5" customHeight="1" x14ac:dyDescent="0.25">
      <c r="A28" s="89" t="s">
        <v>435</v>
      </c>
      <c r="B28" s="93" t="s">
        <v>440</v>
      </c>
      <c r="C28" s="87" t="s">
        <v>644</v>
      </c>
      <c r="D28" s="305" t="s">
        <v>644</v>
      </c>
      <c r="E28" s="305" t="s">
        <v>531</v>
      </c>
      <c r="F28" s="305" t="s">
        <v>531</v>
      </c>
      <c r="G28" s="305" t="s">
        <v>531</v>
      </c>
      <c r="H28" s="305" t="s">
        <v>531</v>
      </c>
      <c r="I28" s="305"/>
      <c r="J28" s="305"/>
      <c r="K28" s="86"/>
      <c r="L28" s="86"/>
    </row>
    <row r="29" spans="1:12" s="68" customFormat="1" ht="54" customHeight="1" x14ac:dyDescent="0.25">
      <c r="A29" s="89" t="s">
        <v>209</v>
      </c>
      <c r="B29" s="93" t="s">
        <v>439</v>
      </c>
      <c r="C29" s="87" t="s">
        <v>644</v>
      </c>
      <c r="D29" s="305" t="s">
        <v>644</v>
      </c>
      <c r="E29" s="305" t="s">
        <v>531</v>
      </c>
      <c r="F29" s="305" t="s">
        <v>531</v>
      </c>
      <c r="G29" s="305" t="s">
        <v>531</v>
      </c>
      <c r="H29" s="305" t="s">
        <v>531</v>
      </c>
      <c r="I29" s="305"/>
      <c r="J29" s="305"/>
      <c r="K29" s="86"/>
      <c r="L29" s="86"/>
    </row>
    <row r="30" spans="1:12" s="68" customFormat="1" ht="42" customHeight="1" x14ac:dyDescent="0.25">
      <c r="A30" s="89" t="s">
        <v>208</v>
      </c>
      <c r="B30" s="93" t="s">
        <v>441</v>
      </c>
      <c r="C30" s="87" t="s">
        <v>644</v>
      </c>
      <c r="D30" s="305" t="s">
        <v>644</v>
      </c>
      <c r="E30" s="305" t="s">
        <v>531</v>
      </c>
      <c r="F30" s="305" t="s">
        <v>531</v>
      </c>
      <c r="G30" s="305" t="s">
        <v>531</v>
      </c>
      <c r="H30" s="305" t="s">
        <v>531</v>
      </c>
      <c r="I30" s="305"/>
      <c r="J30" s="305"/>
      <c r="K30" s="86"/>
      <c r="L30" s="86"/>
    </row>
    <row r="31" spans="1:12" s="68" customFormat="1" ht="37.5" customHeight="1" x14ac:dyDescent="0.25">
      <c r="A31" s="89" t="s">
        <v>207</v>
      </c>
      <c r="B31" s="88" t="s">
        <v>437</v>
      </c>
      <c r="C31" s="87" t="s">
        <v>644</v>
      </c>
      <c r="D31" s="305" t="s">
        <v>644</v>
      </c>
      <c r="E31" s="306">
        <v>43405</v>
      </c>
      <c r="F31" s="306">
        <v>43405</v>
      </c>
      <c r="G31" s="306"/>
      <c r="H31" s="306"/>
      <c r="I31" s="305">
        <v>100</v>
      </c>
      <c r="J31" s="305"/>
      <c r="K31" s="86"/>
      <c r="L31" s="86"/>
    </row>
    <row r="32" spans="1:12" s="68" customFormat="1" ht="31.5" x14ac:dyDescent="0.25">
      <c r="A32" s="89" t="s">
        <v>205</v>
      </c>
      <c r="B32" s="88" t="s">
        <v>442</v>
      </c>
      <c r="C32" s="87" t="s">
        <v>644</v>
      </c>
      <c r="D32" s="305" t="s">
        <v>644</v>
      </c>
      <c r="E32" s="306">
        <v>43720</v>
      </c>
      <c r="F32" s="306">
        <v>43720</v>
      </c>
      <c r="G32" s="306"/>
      <c r="H32" s="306"/>
      <c r="I32" s="305">
        <v>100</v>
      </c>
      <c r="J32" s="305"/>
      <c r="K32" s="86"/>
      <c r="L32" s="86"/>
    </row>
    <row r="33" spans="1:12" s="68" customFormat="1" ht="37.5" customHeight="1" x14ac:dyDescent="0.25">
      <c r="A33" s="89" t="s">
        <v>453</v>
      </c>
      <c r="B33" s="88" t="s">
        <v>369</v>
      </c>
      <c r="C33" s="87" t="s">
        <v>644</v>
      </c>
      <c r="D33" s="305" t="s">
        <v>644</v>
      </c>
      <c r="E33" s="305" t="s">
        <v>531</v>
      </c>
      <c r="F33" s="305" t="s">
        <v>531</v>
      </c>
      <c r="G33" s="305" t="s">
        <v>531</v>
      </c>
      <c r="H33" s="305" t="s">
        <v>531</v>
      </c>
      <c r="I33" s="305"/>
      <c r="J33" s="305"/>
      <c r="K33" s="86"/>
      <c r="L33" s="86"/>
    </row>
    <row r="34" spans="1:12" s="68" customFormat="1" ht="47.25" customHeight="1" x14ac:dyDescent="0.25">
      <c r="A34" s="89" t="s">
        <v>454</v>
      </c>
      <c r="B34" s="88" t="s">
        <v>446</v>
      </c>
      <c r="C34" s="87" t="s">
        <v>644</v>
      </c>
      <c r="D34" s="305" t="s">
        <v>644</v>
      </c>
      <c r="E34" s="305" t="s">
        <v>531</v>
      </c>
      <c r="F34" s="305" t="s">
        <v>531</v>
      </c>
      <c r="G34" s="305" t="s">
        <v>531</v>
      </c>
      <c r="H34" s="305" t="s">
        <v>531</v>
      </c>
      <c r="I34" s="305"/>
      <c r="J34" s="305"/>
      <c r="K34" s="91"/>
      <c r="L34" s="86"/>
    </row>
    <row r="35" spans="1:12" s="68" customFormat="1" ht="49.5" customHeight="1" x14ac:dyDescent="0.25">
      <c r="A35" s="89" t="s">
        <v>455</v>
      </c>
      <c r="B35" s="88" t="s">
        <v>206</v>
      </c>
      <c r="C35" s="87" t="s">
        <v>644</v>
      </c>
      <c r="D35" s="305" t="s">
        <v>644</v>
      </c>
      <c r="E35" s="306">
        <v>43720</v>
      </c>
      <c r="F35" s="306">
        <v>43720</v>
      </c>
      <c r="G35" s="306"/>
      <c r="H35" s="306"/>
      <c r="I35" s="305">
        <v>100</v>
      </c>
      <c r="J35" s="305"/>
      <c r="K35" s="91"/>
      <c r="L35" s="86"/>
    </row>
    <row r="36" spans="1:12" ht="37.5" customHeight="1" x14ac:dyDescent="0.25">
      <c r="A36" s="89" t="s">
        <v>456</v>
      </c>
      <c r="B36" s="88" t="s">
        <v>438</v>
      </c>
      <c r="C36" s="87" t="s">
        <v>644</v>
      </c>
      <c r="D36" s="307" t="s">
        <v>644</v>
      </c>
      <c r="E36" s="305" t="s">
        <v>531</v>
      </c>
      <c r="F36" s="305" t="s">
        <v>531</v>
      </c>
      <c r="G36" s="305" t="s">
        <v>531</v>
      </c>
      <c r="H36" s="305" t="s">
        <v>531</v>
      </c>
      <c r="I36" s="305"/>
      <c r="J36" s="305"/>
      <c r="K36" s="86"/>
      <c r="L36" s="86"/>
    </row>
    <row r="37" spans="1:12" x14ac:dyDescent="0.25">
      <c r="A37" s="89" t="s">
        <v>457</v>
      </c>
      <c r="B37" s="88" t="s">
        <v>204</v>
      </c>
      <c r="C37" s="87" t="s">
        <v>644</v>
      </c>
      <c r="D37" s="307" t="s">
        <v>644</v>
      </c>
      <c r="E37" s="306">
        <v>43720</v>
      </c>
      <c r="F37" s="306">
        <v>43720</v>
      </c>
      <c r="G37" s="306">
        <v>42562</v>
      </c>
      <c r="H37" s="306">
        <v>42562</v>
      </c>
      <c r="I37" s="305">
        <v>100</v>
      </c>
      <c r="J37" s="305"/>
      <c r="K37" s="86"/>
      <c r="L37" s="86"/>
    </row>
    <row r="38" spans="1:12" x14ac:dyDescent="0.25">
      <c r="A38" s="89" t="s">
        <v>458</v>
      </c>
      <c r="B38" s="90" t="s">
        <v>203</v>
      </c>
      <c r="C38" s="87" t="s">
        <v>644</v>
      </c>
      <c r="D38" s="307" t="s">
        <v>644</v>
      </c>
      <c r="E38" s="307"/>
      <c r="F38" s="307"/>
      <c r="G38" s="307"/>
      <c r="H38" s="307"/>
      <c r="I38" s="307"/>
      <c r="J38" s="307"/>
      <c r="K38" s="86"/>
      <c r="L38" s="86"/>
    </row>
    <row r="39" spans="1:12" ht="63" x14ac:dyDescent="0.25">
      <c r="A39" s="89">
        <v>2</v>
      </c>
      <c r="B39" s="88" t="s">
        <v>443</v>
      </c>
      <c r="C39" s="87" t="s">
        <v>644</v>
      </c>
      <c r="D39" s="307" t="s">
        <v>644</v>
      </c>
      <c r="E39" s="306" t="s">
        <v>703</v>
      </c>
      <c r="F39" s="306" t="s">
        <v>703</v>
      </c>
      <c r="G39" s="306"/>
      <c r="H39" s="306"/>
      <c r="I39" s="305"/>
      <c r="J39" s="307"/>
      <c r="K39" s="86"/>
      <c r="L39" s="86"/>
    </row>
    <row r="40" spans="1:12" ht="33.75" customHeight="1" x14ac:dyDescent="0.25">
      <c r="A40" s="89" t="s">
        <v>202</v>
      </c>
      <c r="B40" s="88" t="s">
        <v>445</v>
      </c>
      <c r="C40" s="87" t="s">
        <v>644</v>
      </c>
      <c r="D40" s="307" t="s">
        <v>644</v>
      </c>
      <c r="E40" s="306">
        <v>43691</v>
      </c>
      <c r="F40" s="306">
        <v>43691</v>
      </c>
      <c r="G40" s="306"/>
      <c r="H40" s="306"/>
      <c r="I40" s="305">
        <v>100</v>
      </c>
      <c r="J40" s="307"/>
      <c r="K40" s="86"/>
      <c r="L40" s="86"/>
    </row>
    <row r="41" spans="1:12" ht="63" customHeight="1" x14ac:dyDescent="0.25">
      <c r="A41" s="89" t="s">
        <v>201</v>
      </c>
      <c r="B41" s="90" t="s">
        <v>526</v>
      </c>
      <c r="C41" s="87" t="s">
        <v>644</v>
      </c>
      <c r="D41" s="307" t="s">
        <v>644</v>
      </c>
      <c r="E41" s="307"/>
      <c r="F41" s="307"/>
      <c r="G41" s="307"/>
      <c r="H41" s="307"/>
      <c r="I41" s="307"/>
      <c r="J41" s="307"/>
      <c r="K41" s="86"/>
      <c r="L41" s="86"/>
    </row>
    <row r="42" spans="1:12" ht="58.5" customHeight="1" x14ac:dyDescent="0.25">
      <c r="A42" s="89">
        <v>3</v>
      </c>
      <c r="B42" s="88" t="s">
        <v>444</v>
      </c>
      <c r="C42" s="87" t="s">
        <v>644</v>
      </c>
      <c r="D42" s="307" t="s">
        <v>644</v>
      </c>
      <c r="E42" s="306">
        <v>43727</v>
      </c>
      <c r="F42" s="306">
        <v>43727</v>
      </c>
      <c r="G42" s="306"/>
      <c r="H42" s="306"/>
      <c r="I42" s="305">
        <v>100</v>
      </c>
      <c r="J42" s="307"/>
      <c r="K42" s="86"/>
      <c r="L42" s="86"/>
    </row>
    <row r="43" spans="1:12" ht="34.5" customHeight="1" x14ac:dyDescent="0.25">
      <c r="A43" s="89" t="s">
        <v>200</v>
      </c>
      <c r="B43" s="88" t="s">
        <v>198</v>
      </c>
      <c r="C43" s="87" t="s">
        <v>644</v>
      </c>
      <c r="D43" s="307" t="s">
        <v>644</v>
      </c>
      <c r="E43" s="306">
        <v>43800</v>
      </c>
      <c r="F43" s="308">
        <v>43800</v>
      </c>
      <c r="G43" s="306"/>
      <c r="H43" s="308"/>
      <c r="I43" s="305">
        <v>100</v>
      </c>
      <c r="J43" s="305"/>
      <c r="K43" s="86"/>
      <c r="L43" s="86"/>
    </row>
    <row r="44" spans="1:12" ht="24.75" customHeight="1" x14ac:dyDescent="0.25">
      <c r="A44" s="89" t="s">
        <v>199</v>
      </c>
      <c r="B44" s="88" t="s">
        <v>196</v>
      </c>
      <c r="C44" s="87" t="s">
        <v>644</v>
      </c>
      <c r="D44" s="307" t="s">
        <v>644</v>
      </c>
      <c r="E44" s="306"/>
      <c r="F44" s="308"/>
      <c r="G44" s="308"/>
      <c r="H44" s="308"/>
      <c r="I44" s="307"/>
      <c r="J44" s="307"/>
      <c r="K44" s="86"/>
      <c r="L44" s="86"/>
    </row>
    <row r="45" spans="1:12" ht="90.75" customHeight="1" x14ac:dyDescent="0.25">
      <c r="A45" s="89" t="s">
        <v>197</v>
      </c>
      <c r="B45" s="88" t="s">
        <v>449</v>
      </c>
      <c r="C45" s="87" t="s">
        <v>644</v>
      </c>
      <c r="D45" s="307" t="s">
        <v>644</v>
      </c>
      <c r="E45" s="305"/>
      <c r="F45" s="305"/>
      <c r="G45" s="305"/>
      <c r="H45" s="305"/>
      <c r="I45" s="305"/>
      <c r="J45" s="305"/>
      <c r="K45" s="86"/>
      <c r="L45" s="86"/>
    </row>
    <row r="46" spans="1:12" ht="167.25" customHeight="1" x14ac:dyDescent="0.25">
      <c r="A46" s="89" t="s">
        <v>195</v>
      </c>
      <c r="B46" s="88" t="s">
        <v>447</v>
      </c>
      <c r="C46" s="87" t="s">
        <v>644</v>
      </c>
      <c r="D46" s="307" t="s">
        <v>644</v>
      </c>
      <c r="E46" s="305"/>
      <c r="F46" s="305"/>
      <c r="G46" s="305"/>
      <c r="H46" s="305"/>
      <c r="I46" s="305"/>
      <c r="J46" s="305"/>
      <c r="K46" s="86"/>
      <c r="L46" s="86"/>
    </row>
    <row r="47" spans="1:12" ht="30.75" customHeight="1" x14ac:dyDescent="0.25">
      <c r="A47" s="89" t="s">
        <v>193</v>
      </c>
      <c r="B47" s="88" t="s">
        <v>194</v>
      </c>
      <c r="C47" s="87" t="s">
        <v>644</v>
      </c>
      <c r="D47" s="307" t="s">
        <v>644</v>
      </c>
      <c r="E47" s="308"/>
      <c r="F47" s="308"/>
      <c r="G47" s="308"/>
      <c r="H47" s="308"/>
      <c r="I47" s="307"/>
      <c r="J47" s="307"/>
      <c r="K47" s="86"/>
      <c r="L47" s="86"/>
    </row>
    <row r="48" spans="1:12" ht="37.5" customHeight="1" x14ac:dyDescent="0.25">
      <c r="A48" s="89" t="s">
        <v>459</v>
      </c>
      <c r="B48" s="90" t="s">
        <v>192</v>
      </c>
      <c r="C48" s="87" t="s">
        <v>644</v>
      </c>
      <c r="D48" s="307" t="s">
        <v>644</v>
      </c>
      <c r="E48" s="307"/>
      <c r="F48" s="307"/>
      <c r="G48" s="307"/>
      <c r="H48" s="307"/>
      <c r="I48" s="307"/>
      <c r="J48" s="307"/>
      <c r="K48" s="86"/>
      <c r="L48" s="86"/>
    </row>
    <row r="49" spans="1:12" ht="35.25" customHeight="1" x14ac:dyDescent="0.25">
      <c r="A49" s="89">
        <v>4</v>
      </c>
      <c r="B49" s="88" t="s">
        <v>190</v>
      </c>
      <c r="C49" s="87" t="s">
        <v>644</v>
      </c>
      <c r="D49" s="307" t="s">
        <v>644</v>
      </c>
      <c r="E49" s="308"/>
      <c r="F49" s="308"/>
      <c r="G49" s="308"/>
      <c r="H49" s="308"/>
      <c r="I49" s="307"/>
      <c r="J49" s="307"/>
      <c r="K49" s="86"/>
      <c r="L49" s="86"/>
    </row>
    <row r="50" spans="1:12" ht="86.25" customHeight="1" x14ac:dyDescent="0.25">
      <c r="A50" s="89" t="s">
        <v>191</v>
      </c>
      <c r="B50" s="88" t="s">
        <v>448</v>
      </c>
      <c r="C50" s="87" t="s">
        <v>644</v>
      </c>
      <c r="D50" s="307" t="s">
        <v>644</v>
      </c>
      <c r="E50" s="306"/>
      <c r="F50" s="306"/>
      <c r="G50" s="308"/>
      <c r="H50" s="308"/>
      <c r="I50" s="307"/>
      <c r="J50" s="307"/>
      <c r="K50" s="86"/>
      <c r="L50" s="86"/>
    </row>
    <row r="51" spans="1:12" ht="77.25" customHeight="1" x14ac:dyDescent="0.25">
      <c r="A51" s="89" t="s">
        <v>189</v>
      </c>
      <c r="B51" s="88" t="s">
        <v>450</v>
      </c>
      <c r="C51" s="87" t="s">
        <v>644</v>
      </c>
      <c r="D51" s="307" t="s">
        <v>644</v>
      </c>
      <c r="E51" s="305"/>
      <c r="F51" s="305"/>
      <c r="G51" s="308"/>
      <c r="H51" s="308"/>
      <c r="I51" s="307"/>
      <c r="J51" s="307"/>
      <c r="K51" s="86"/>
      <c r="L51" s="86"/>
    </row>
    <row r="52" spans="1:12" ht="71.25" customHeight="1" x14ac:dyDescent="0.25">
      <c r="A52" s="89" t="s">
        <v>187</v>
      </c>
      <c r="B52" s="88" t="s">
        <v>188</v>
      </c>
      <c r="C52" s="87" t="s">
        <v>644</v>
      </c>
      <c r="D52" s="307" t="s">
        <v>644</v>
      </c>
      <c r="E52" s="308"/>
      <c r="F52" s="308"/>
      <c r="G52" s="308"/>
      <c r="H52" s="308"/>
      <c r="I52" s="307"/>
      <c r="J52" s="307"/>
      <c r="K52" s="86"/>
      <c r="L52" s="86"/>
    </row>
    <row r="53" spans="1:12" ht="48" customHeight="1" x14ac:dyDescent="0.25">
      <c r="A53" s="89" t="s">
        <v>185</v>
      </c>
      <c r="B53" s="150" t="s">
        <v>451</v>
      </c>
      <c r="C53" s="87" t="s">
        <v>644</v>
      </c>
      <c r="D53" s="307" t="s">
        <v>644</v>
      </c>
      <c r="E53" s="306"/>
      <c r="F53" s="306"/>
      <c r="G53" s="308"/>
      <c r="H53" s="308"/>
      <c r="I53" s="307"/>
      <c r="J53" s="307"/>
      <c r="K53" s="86"/>
      <c r="L53" s="86"/>
    </row>
    <row r="54" spans="1:12" ht="46.5" customHeight="1" x14ac:dyDescent="0.25">
      <c r="A54" s="89" t="s">
        <v>452</v>
      </c>
      <c r="B54" s="88" t="s">
        <v>186</v>
      </c>
      <c r="C54" s="87" t="s">
        <v>644</v>
      </c>
      <c r="D54" s="307" t="s">
        <v>644</v>
      </c>
      <c r="E54" s="306"/>
      <c r="F54" s="306"/>
      <c r="G54" s="308"/>
      <c r="H54" s="308"/>
      <c r="I54" s="307"/>
      <c r="J54" s="307"/>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2022-02-09T14:07:47Z</dcterms:modified>
</cp:coreProperties>
</file>