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ЛЭП'!$A$24:$WVQ$25</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й">#N/A</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йй">#N/A</definedName>
    <definedName name="йййййййййййййййййййййййй">#N/A</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йфц">#N/A</definedName>
    <definedName name="йц">#N/A</definedName>
    <definedName name="йцу">#N/A</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й" localSheetId="9">#REF!</definedName>
    <definedName name="критерий">#REF!</definedName>
    <definedName name="Критерии_ИМ" localSheetId="9">#REF!</definedName>
    <definedName name="Критерии_ИМ">#REF!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эфф'!$A$1:$V$93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52511" iterate="1"/>
</workbook>
</file>

<file path=xl/calcChain.xml><?xml version="1.0" encoding="utf-8"?>
<calcChain xmlns="http://schemas.openxmlformats.org/spreadsheetml/2006/main">
  <c r="W56" i="27" l="1"/>
  <c r="V56" i="27"/>
  <c r="K26" i="5" l="1"/>
  <c r="A13" i="26" l="1"/>
  <c r="A16" i="26"/>
  <c r="D26" i="5" l="1"/>
  <c r="G26" i="5"/>
  <c r="I26" i="5"/>
  <c r="W30" i="27" l="1"/>
  <c r="W27" i="27" s="1"/>
  <c r="W24" i="27" s="1"/>
  <c r="AC64" i="27" l="1"/>
  <c r="AB64" i="27"/>
  <c r="AC63" i="27"/>
  <c r="AB63" i="27"/>
  <c r="S63" i="27"/>
  <c r="AC62" i="27"/>
  <c r="AB62" i="27"/>
  <c r="AC61" i="27"/>
  <c r="AB61" i="27"/>
  <c r="AC60" i="27"/>
  <c r="AB60" i="27"/>
  <c r="AC59" i="27"/>
  <c r="AB59" i="27"/>
  <c r="AC58" i="27"/>
  <c r="AB58" i="27"/>
  <c r="AB57" i="27"/>
  <c r="O57" i="27"/>
  <c r="AB56" i="27"/>
  <c r="N56" i="27"/>
  <c r="AC56" i="27" s="1"/>
  <c r="AB55" i="27"/>
  <c r="AB54" i="27"/>
  <c r="R54" i="27"/>
  <c r="AB53" i="27"/>
  <c r="R53" i="27"/>
  <c r="AC53" i="27" s="1"/>
  <c r="AB52" i="27"/>
  <c r="O52" i="27"/>
  <c r="AC51" i="27"/>
  <c r="AB51" i="27"/>
  <c r="AB50" i="27"/>
  <c r="S50" i="27"/>
  <c r="S57" i="27" s="1"/>
  <c r="R50" i="27"/>
  <c r="R57" i="27" s="1"/>
  <c r="AC57" i="27" s="1"/>
  <c r="AB49" i="27"/>
  <c r="R49" i="27"/>
  <c r="N49" i="27"/>
  <c r="AB48" i="27"/>
  <c r="S48" i="27"/>
  <c r="R48" i="27"/>
  <c r="N48" i="27"/>
  <c r="AC48" i="27" s="1"/>
  <c r="AB47" i="27"/>
  <c r="N47" i="27"/>
  <c r="AB46" i="27"/>
  <c r="R46" i="27"/>
  <c r="R55" i="27" s="1"/>
  <c r="AC55" i="27" s="1"/>
  <c r="AB45" i="27"/>
  <c r="S45" i="27"/>
  <c r="S54" i="27" s="1"/>
  <c r="R45" i="27"/>
  <c r="N45" i="27"/>
  <c r="N54" i="27" s="1"/>
  <c r="AC54" i="27" s="1"/>
  <c r="AC44" i="27"/>
  <c r="AB44" i="27"/>
  <c r="R44" i="27"/>
  <c r="AC43" i="27"/>
  <c r="AB43" i="27"/>
  <c r="AC42" i="27"/>
  <c r="AB42" i="27"/>
  <c r="S42" i="27"/>
  <c r="AC41" i="27"/>
  <c r="AB41" i="27"/>
  <c r="S41" i="27"/>
  <c r="S49" i="27" s="1"/>
  <c r="O41" i="27"/>
  <c r="O49" i="27" s="1"/>
  <c r="AC40" i="27"/>
  <c r="AB40" i="27"/>
  <c r="S40" i="27"/>
  <c r="O40" i="27"/>
  <c r="O48" i="27" s="1"/>
  <c r="AC39" i="27"/>
  <c r="AB39" i="27"/>
  <c r="O39" i="27"/>
  <c r="O47" i="27" s="1"/>
  <c r="O56" i="27" s="1"/>
  <c r="AC38" i="27"/>
  <c r="AB38" i="27"/>
  <c r="S38" i="27"/>
  <c r="S46" i="27" s="1"/>
  <c r="S55" i="27" s="1"/>
  <c r="AC37" i="27"/>
  <c r="AB37" i="27"/>
  <c r="S37" i="27"/>
  <c r="O37" i="27"/>
  <c r="O45" i="27" s="1"/>
  <c r="O54" i="27" s="1"/>
  <c r="AC36" i="27"/>
  <c r="AB36" i="27"/>
  <c r="S36" i="27"/>
  <c r="S44" i="27" s="1"/>
  <c r="S53" i="27" s="1"/>
  <c r="AC35" i="27"/>
  <c r="AB35" i="27"/>
  <c r="AC34" i="27"/>
  <c r="AB34" i="27"/>
  <c r="AC33" i="27"/>
  <c r="AB33" i="27"/>
  <c r="O33" i="27"/>
  <c r="AC32" i="27"/>
  <c r="AB32" i="27"/>
  <c r="AC31" i="27"/>
  <c r="AB31" i="27"/>
  <c r="AA30" i="27"/>
  <c r="Z30" i="27"/>
  <c r="Y30" i="27"/>
  <c r="X30" i="27"/>
  <c r="V30" i="27"/>
  <c r="U30" i="27"/>
  <c r="S30" i="27"/>
  <c r="R30" i="27"/>
  <c r="Q30" i="27"/>
  <c r="P30" i="27"/>
  <c r="O30" i="27"/>
  <c r="N30" i="27"/>
  <c r="M30" i="27"/>
  <c r="L30" i="27"/>
  <c r="K30" i="27"/>
  <c r="J30" i="27"/>
  <c r="I30" i="27"/>
  <c r="H30" i="27"/>
  <c r="AB30" i="27" s="1"/>
  <c r="AC29" i="27"/>
  <c r="AB29" i="27"/>
  <c r="AC28" i="27"/>
  <c r="AB28" i="27"/>
  <c r="O28" i="27"/>
  <c r="AB27" i="27"/>
  <c r="AC26" i="27"/>
  <c r="AB26" i="27"/>
  <c r="AC25" i="27"/>
  <c r="AB25" i="27"/>
  <c r="AA24" i="27"/>
  <c r="Z24" i="27"/>
  <c r="Y24" i="27"/>
  <c r="X24" i="27"/>
  <c r="AB24" i="27" s="1"/>
  <c r="U24" i="27"/>
  <c r="S24" i="27"/>
  <c r="R24" i="27"/>
  <c r="Q24" i="27"/>
  <c r="P24" i="27"/>
  <c r="O24" i="27"/>
  <c r="N24" i="27"/>
  <c r="M24" i="27"/>
  <c r="L24" i="27"/>
  <c r="K24" i="27"/>
  <c r="J24" i="27"/>
  <c r="I24" i="27"/>
  <c r="H24" i="27"/>
  <c r="D23" i="27"/>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C23" i="27"/>
  <c r="A14" i="27"/>
  <c r="A11" i="27"/>
  <c r="A8" i="27"/>
  <c r="A4" i="27"/>
  <c r="AC52" i="27" l="1"/>
  <c r="B27" i="22" s="1"/>
  <c r="V27" i="27"/>
  <c r="AC30" i="27"/>
  <c r="AC46" i="27"/>
  <c r="AC45" i="27"/>
  <c r="AC50" i="27"/>
  <c r="AC27" i="27" l="1"/>
  <c r="V24" i="27"/>
  <c r="AC24" i="27" s="1"/>
  <c r="A6" i="26"/>
  <c r="A14" i="12"/>
  <c r="R28" i="14" l="1"/>
  <c r="R27" i="14"/>
  <c r="R26" i="14"/>
  <c r="AC49" i="27" l="1"/>
  <c r="AC47" i="27"/>
  <c r="B99" i="26" l="1"/>
  <c r="B98" i="26"/>
  <c r="B87" i="26"/>
  <c r="B84" i="26"/>
  <c r="Z82" i="26"/>
  <c r="Y82" i="26"/>
  <c r="C81" i="26"/>
  <c r="B81" i="26"/>
  <c r="Z78" i="26"/>
  <c r="Y78" i="26"/>
  <c r="X78" i="26"/>
  <c r="B78" i="26"/>
  <c r="C76" i="26"/>
  <c r="D76" i="26" s="1"/>
  <c r="E76" i="26" s="1"/>
  <c r="F76" i="26" s="1"/>
  <c r="G76" i="26" s="1"/>
  <c r="H76" i="26" s="1"/>
  <c r="I76" i="26" s="1"/>
  <c r="J76" i="26" s="1"/>
  <c r="K76" i="26" s="1"/>
  <c r="L76" i="26" s="1"/>
  <c r="M76" i="26" s="1"/>
  <c r="N76" i="26" s="1"/>
  <c r="O76" i="26" s="1"/>
  <c r="P76" i="26" s="1"/>
  <c r="Q76" i="26" s="1"/>
  <c r="R76" i="26" s="1"/>
  <c r="S76" i="26" s="1"/>
  <c r="T76" i="26" s="1"/>
  <c r="U76" i="26" s="1"/>
  <c r="V76" i="26" s="1"/>
  <c r="W76" i="26" s="1"/>
  <c r="X76" i="26" s="1"/>
  <c r="Y76" i="26" s="1"/>
  <c r="Z76" i="26" s="1"/>
  <c r="C75" i="26"/>
  <c r="W69" i="26"/>
  <c r="V69" i="26"/>
  <c r="U69" i="26"/>
  <c r="T69" i="26"/>
  <c r="S69" i="26"/>
  <c r="R69" i="26"/>
  <c r="Q69" i="26"/>
  <c r="Q78" i="26" s="1"/>
  <c r="P69" i="26"/>
  <c r="P78" i="26" s="1"/>
  <c r="O69" i="26"/>
  <c r="O78" i="26" s="1"/>
  <c r="N69" i="26"/>
  <c r="N78" i="26" s="1"/>
  <c r="M69" i="26"/>
  <c r="M78" i="26" s="1"/>
  <c r="L69" i="26"/>
  <c r="L78" i="26" s="1"/>
  <c r="K69" i="26"/>
  <c r="K78" i="26" s="1"/>
  <c r="J69" i="26"/>
  <c r="J78" i="26" s="1"/>
  <c r="I69" i="26"/>
  <c r="I78" i="26" s="1"/>
  <c r="H69" i="26"/>
  <c r="H78" i="26" s="1"/>
  <c r="G69" i="26"/>
  <c r="G78" i="26" s="1"/>
  <c r="F69" i="26"/>
  <c r="F78" i="26" s="1"/>
  <c r="E69" i="26"/>
  <c r="E78" i="26" s="1"/>
  <c r="D69" i="26"/>
  <c r="D78" i="26" s="1"/>
  <c r="C69" i="26"/>
  <c r="C78" i="26" s="1"/>
  <c r="W67" i="26"/>
  <c r="V67" i="26"/>
  <c r="U67" i="26"/>
  <c r="T67" i="26"/>
  <c r="S67" i="26"/>
  <c r="R67" i="26"/>
  <c r="Q67" i="26"/>
  <c r="P67" i="26"/>
  <c r="O67" i="26"/>
  <c r="N67" i="26"/>
  <c r="M67" i="26"/>
  <c r="L67" i="26"/>
  <c r="K67" i="26"/>
  <c r="J67" i="26"/>
  <c r="I67" i="26"/>
  <c r="H67" i="26"/>
  <c r="G67" i="26"/>
  <c r="F67" i="26"/>
  <c r="E67" i="26"/>
  <c r="D67" i="26"/>
  <c r="C67" i="26"/>
  <c r="B67" i="26"/>
  <c r="W66" i="26"/>
  <c r="V66" i="26"/>
  <c r="U66" i="26"/>
  <c r="U60" i="26" s="1"/>
  <c r="T66" i="26"/>
  <c r="S66" i="26"/>
  <c r="R66" i="26"/>
  <c r="Q66" i="26"/>
  <c r="P66" i="26"/>
  <c r="O66" i="26"/>
  <c r="N66" i="26"/>
  <c r="M66" i="26"/>
  <c r="M60" i="26" s="1"/>
  <c r="L66" i="26"/>
  <c r="K66" i="26"/>
  <c r="J66" i="26"/>
  <c r="I66" i="26"/>
  <c r="H66" i="26"/>
  <c r="G66" i="26"/>
  <c r="F66" i="26"/>
  <c r="E66" i="26"/>
  <c r="E60" i="26" s="1"/>
  <c r="D66" i="26"/>
  <c r="C66" i="26"/>
  <c r="A66" i="26"/>
  <c r="W65" i="26"/>
  <c r="V65" i="26"/>
  <c r="U65" i="26"/>
  <c r="T65" i="26"/>
  <c r="S65" i="26"/>
  <c r="R65" i="26"/>
  <c r="Q65" i="26"/>
  <c r="P65" i="26"/>
  <c r="O65" i="26"/>
  <c r="N65" i="26"/>
  <c r="M65" i="26"/>
  <c r="L65" i="26"/>
  <c r="K65" i="26"/>
  <c r="J65" i="26"/>
  <c r="I65" i="26"/>
  <c r="H65" i="26"/>
  <c r="G65" i="26"/>
  <c r="F65" i="26"/>
  <c r="E65" i="26"/>
  <c r="D65" i="26"/>
  <c r="C65" i="26"/>
  <c r="W64" i="26"/>
  <c r="V64" i="26"/>
  <c r="U64" i="26"/>
  <c r="T64" i="26"/>
  <c r="S64" i="26"/>
  <c r="R64" i="26"/>
  <c r="Q64" i="26"/>
  <c r="P64" i="26"/>
  <c r="O64" i="26"/>
  <c r="N64" i="26"/>
  <c r="M64" i="26"/>
  <c r="L64" i="26"/>
  <c r="K64" i="26"/>
  <c r="J64" i="26"/>
  <c r="I64" i="26"/>
  <c r="H64" i="26"/>
  <c r="G64" i="26"/>
  <c r="F64" i="26"/>
  <c r="E64" i="26"/>
  <c r="D64" i="26"/>
  <c r="C64" i="26"/>
  <c r="B64" i="26"/>
  <c r="W63" i="26"/>
  <c r="V63" i="26"/>
  <c r="U63" i="26"/>
  <c r="T63" i="26"/>
  <c r="S63" i="26"/>
  <c r="R63" i="26"/>
  <c r="Q63" i="26"/>
  <c r="P63" i="26"/>
  <c r="O63" i="26"/>
  <c r="N63" i="26"/>
  <c r="M63" i="26"/>
  <c r="L63" i="26"/>
  <c r="K63" i="26"/>
  <c r="J63" i="26"/>
  <c r="I63" i="26"/>
  <c r="H63" i="26"/>
  <c r="G63" i="26"/>
  <c r="F63" i="26"/>
  <c r="E63" i="26"/>
  <c r="D63" i="26"/>
  <c r="C63" i="26"/>
  <c r="B63" i="26"/>
  <c r="W62" i="26"/>
  <c r="V62" i="26"/>
  <c r="U62" i="26"/>
  <c r="T62" i="26"/>
  <c r="S62" i="26"/>
  <c r="R62" i="26"/>
  <c r="Q62" i="26"/>
  <c r="Q60" i="26" s="1"/>
  <c r="P62" i="26"/>
  <c r="O62" i="26"/>
  <c r="N62" i="26"/>
  <c r="M62" i="26"/>
  <c r="L62" i="26"/>
  <c r="K62" i="26"/>
  <c r="J62" i="26"/>
  <c r="I62" i="26"/>
  <c r="I60" i="26" s="1"/>
  <c r="H62" i="26"/>
  <c r="G62" i="26"/>
  <c r="F62" i="26"/>
  <c r="E62" i="26"/>
  <c r="D62" i="26"/>
  <c r="C62" i="26"/>
  <c r="B62" i="26"/>
  <c r="W61" i="26"/>
  <c r="W60" i="26" s="1"/>
  <c r="V61" i="26"/>
  <c r="V60" i="26" s="1"/>
  <c r="U61" i="26"/>
  <c r="T61" i="26"/>
  <c r="S61" i="26"/>
  <c r="R61" i="26"/>
  <c r="R60" i="26" s="1"/>
  <c r="Q61" i="26"/>
  <c r="P61" i="26"/>
  <c r="O61" i="26"/>
  <c r="O60" i="26" s="1"/>
  <c r="N61" i="26"/>
  <c r="N60" i="26" s="1"/>
  <c r="M61" i="26"/>
  <c r="L61" i="26"/>
  <c r="K61" i="26"/>
  <c r="J61" i="26"/>
  <c r="J60" i="26" s="1"/>
  <c r="I61" i="26"/>
  <c r="H61" i="26"/>
  <c r="G61" i="26"/>
  <c r="G60" i="26" s="1"/>
  <c r="F61" i="26"/>
  <c r="F60" i="26" s="1"/>
  <c r="E61" i="26"/>
  <c r="D61" i="26"/>
  <c r="C61" i="26"/>
  <c r="Z60" i="26"/>
  <c r="Z68" i="26" s="1"/>
  <c r="Z70" i="26" s="1"/>
  <c r="X60" i="26"/>
  <c r="X68" i="26" s="1"/>
  <c r="X70" i="26" s="1"/>
  <c r="S60" i="26"/>
  <c r="K60" i="26"/>
  <c r="C60" i="26"/>
  <c r="W59" i="26"/>
  <c r="W50" i="26" s="1"/>
  <c r="V59" i="26"/>
  <c r="U59" i="26"/>
  <c r="U50" i="26" s="1"/>
  <c r="T59" i="26"/>
  <c r="T50" i="26" s="1"/>
  <c r="S59" i="26"/>
  <c r="S50" i="26" s="1"/>
  <c r="R59" i="26"/>
  <c r="Q59" i="26"/>
  <c r="Q50" i="26" s="1"/>
  <c r="P59" i="26"/>
  <c r="P50" i="26" s="1"/>
  <c r="O59" i="26"/>
  <c r="O50" i="26" s="1"/>
  <c r="N59" i="26"/>
  <c r="M59" i="26"/>
  <c r="M50" i="26" s="1"/>
  <c r="L59" i="26"/>
  <c r="L50" i="26" s="1"/>
  <c r="K59" i="26"/>
  <c r="K50" i="26" s="1"/>
  <c r="J59" i="26"/>
  <c r="I59" i="26"/>
  <c r="I50" i="26" s="1"/>
  <c r="H59" i="26"/>
  <c r="H50" i="26" s="1"/>
  <c r="G59" i="26"/>
  <c r="G50" i="26" s="1"/>
  <c r="F59" i="26"/>
  <c r="E59" i="26"/>
  <c r="E50" i="26" s="1"/>
  <c r="D59" i="26"/>
  <c r="D50" i="26" s="1"/>
  <c r="C59" i="26"/>
  <c r="C50" i="26" s="1"/>
  <c r="B59" i="26"/>
  <c r="B82" i="26" s="1"/>
  <c r="C58" i="26"/>
  <c r="D58" i="26" s="1"/>
  <c r="E58" i="26" s="1"/>
  <c r="F58" i="26" s="1"/>
  <c r="G58" i="26" s="1"/>
  <c r="H58" i="26" s="1"/>
  <c r="I58" i="26" s="1"/>
  <c r="J58" i="26" s="1"/>
  <c r="K58" i="26" s="1"/>
  <c r="L58" i="26" s="1"/>
  <c r="M58" i="26" s="1"/>
  <c r="N58" i="26" s="1"/>
  <c r="O58" i="26" s="1"/>
  <c r="P58" i="26" s="1"/>
  <c r="Q58" i="26" s="1"/>
  <c r="R58" i="26" s="1"/>
  <c r="S58" i="26" s="1"/>
  <c r="T58" i="26" s="1"/>
  <c r="U58" i="26" s="1"/>
  <c r="V58" i="26" s="1"/>
  <c r="W58" i="26" s="1"/>
  <c r="X58" i="26" s="1"/>
  <c r="Y58" i="26" s="1"/>
  <c r="Z58" i="26" s="1"/>
  <c r="C56" i="26"/>
  <c r="C71" i="26" s="1"/>
  <c r="C79" i="26" s="1"/>
  <c r="B56" i="26"/>
  <c r="B71" i="26" s="1"/>
  <c r="B79" i="26" s="1"/>
  <c r="C52" i="26"/>
  <c r="D52" i="26" s="1"/>
  <c r="E52" i="26" s="1"/>
  <c r="F52" i="26" s="1"/>
  <c r="G52" i="26" s="1"/>
  <c r="H52" i="26" s="1"/>
  <c r="I52" i="26" s="1"/>
  <c r="J52" i="26" s="1"/>
  <c r="K52" i="26" s="1"/>
  <c r="L52" i="26" s="1"/>
  <c r="M52" i="26" s="1"/>
  <c r="N52" i="26" s="1"/>
  <c r="O52" i="26" s="1"/>
  <c r="P52" i="26" s="1"/>
  <c r="Q52" i="26" s="1"/>
  <c r="R52" i="26" s="1"/>
  <c r="S52" i="26" s="1"/>
  <c r="T52" i="26" s="1"/>
  <c r="U52" i="26" s="1"/>
  <c r="V52" i="26" s="1"/>
  <c r="W52" i="26" s="1"/>
  <c r="X52" i="26" s="1"/>
  <c r="Y52" i="26" s="1"/>
  <c r="Z52" i="26" s="1"/>
  <c r="Z50" i="26"/>
  <c r="Y50" i="26"/>
  <c r="X50" i="26"/>
  <c r="V50" i="26"/>
  <c r="R50" i="26"/>
  <c r="N50" i="26"/>
  <c r="J50" i="26"/>
  <c r="F50" i="26"/>
  <c r="B50" i="26"/>
  <c r="B49" i="26"/>
  <c r="C49" i="26" s="1"/>
  <c r="D49" i="26" s="1"/>
  <c r="E49" i="26" s="1"/>
  <c r="F49" i="26" s="1"/>
  <c r="G49" i="26" s="1"/>
  <c r="H49" i="26" s="1"/>
  <c r="I49" i="26" s="1"/>
  <c r="J49" i="26" s="1"/>
  <c r="K49" i="26" s="1"/>
  <c r="L49" i="26" s="1"/>
  <c r="M49" i="26" s="1"/>
  <c r="N49" i="26" s="1"/>
  <c r="O49" i="26" s="1"/>
  <c r="P49" i="26" s="1"/>
  <c r="Q49" i="26" s="1"/>
  <c r="R49" i="26" s="1"/>
  <c r="S49" i="26" s="1"/>
  <c r="T49" i="26" s="1"/>
  <c r="U49" i="26" s="1"/>
  <c r="V49" i="26" s="1"/>
  <c r="W49" i="26" s="1"/>
  <c r="X49" i="26" s="1"/>
  <c r="Y49" i="26" s="1"/>
  <c r="Z49" i="26" s="1"/>
  <c r="M48" i="26"/>
  <c r="N48" i="26" s="1"/>
  <c r="O48" i="26" s="1"/>
  <c r="P48" i="26" s="1"/>
  <c r="Q48" i="26" s="1"/>
  <c r="R48" i="26" s="1"/>
  <c r="S48" i="26" s="1"/>
  <c r="T48" i="26" s="1"/>
  <c r="U48" i="26" s="1"/>
  <c r="V48" i="26" s="1"/>
  <c r="W48" i="26" s="1"/>
  <c r="X48" i="26" s="1"/>
  <c r="Y48" i="26" s="1"/>
  <c r="Z48" i="26" s="1"/>
  <c r="H48" i="26"/>
  <c r="D47" i="26"/>
  <c r="D97" i="26" s="1"/>
  <c r="C47" i="26"/>
  <c r="C97" i="26" s="1"/>
  <c r="B46" i="26"/>
  <c r="B45" i="26"/>
  <c r="D60" i="26" l="1"/>
  <c r="H60" i="26"/>
  <c r="L60" i="26"/>
  <c r="P60" i="26"/>
  <c r="P68" i="26" s="1"/>
  <c r="P70" i="26" s="1"/>
  <c r="T60" i="26"/>
  <c r="B60" i="26"/>
  <c r="D82" i="26"/>
  <c r="F82" i="26"/>
  <c r="H82" i="26"/>
  <c r="J82" i="26"/>
  <c r="L82" i="26"/>
  <c r="N82" i="26"/>
  <c r="P82" i="26"/>
  <c r="R82" i="26"/>
  <c r="T82" i="26"/>
  <c r="V82" i="26"/>
  <c r="Z77" i="26"/>
  <c r="X77" i="26"/>
  <c r="B83" i="26"/>
  <c r="E21" i="26"/>
  <c r="E47" i="26"/>
  <c r="C82" i="26"/>
  <c r="E82" i="26"/>
  <c r="G82" i="26"/>
  <c r="I82" i="26"/>
  <c r="K82" i="26"/>
  <c r="M82" i="26"/>
  <c r="O82" i="26"/>
  <c r="Q82" i="26"/>
  <c r="S82" i="26"/>
  <c r="U82" i="26"/>
  <c r="W82" i="26"/>
  <c r="C68" i="26"/>
  <c r="C70" i="26" s="1"/>
  <c r="E68" i="26"/>
  <c r="E70" i="26" s="1"/>
  <c r="G68" i="26"/>
  <c r="G70" i="26" s="1"/>
  <c r="I68" i="26"/>
  <c r="I70" i="26" s="1"/>
  <c r="K68" i="26"/>
  <c r="K70" i="26" s="1"/>
  <c r="M68" i="26"/>
  <c r="M70" i="26" s="1"/>
  <c r="O68" i="26"/>
  <c r="O70" i="26" s="1"/>
  <c r="Q68" i="26"/>
  <c r="Q70" i="26" s="1"/>
  <c r="S68" i="26"/>
  <c r="S70" i="26" s="1"/>
  <c r="U68" i="26"/>
  <c r="U70" i="26" s="1"/>
  <c r="W68" i="26"/>
  <c r="W70" i="26" s="1"/>
  <c r="B53" i="26"/>
  <c r="C53" i="26" s="1"/>
  <c r="B68" i="26"/>
  <c r="B70" i="26" s="1"/>
  <c r="D68" i="26"/>
  <c r="D70" i="26" s="1"/>
  <c r="F68" i="26"/>
  <c r="F70" i="26" s="1"/>
  <c r="H68" i="26"/>
  <c r="H70" i="26" s="1"/>
  <c r="J68" i="26"/>
  <c r="J70" i="26" s="1"/>
  <c r="L68" i="26"/>
  <c r="L70" i="26" s="1"/>
  <c r="N68" i="26"/>
  <c r="N70" i="26" s="1"/>
  <c r="R68" i="26"/>
  <c r="R70" i="26" s="1"/>
  <c r="T68" i="26"/>
  <c r="T70" i="26" s="1"/>
  <c r="V68" i="26"/>
  <c r="V70" i="26" s="1"/>
  <c r="C87" i="26"/>
  <c r="D75" i="26"/>
  <c r="T77" i="26" l="1"/>
  <c r="P77" i="26"/>
  <c r="L77" i="26"/>
  <c r="H77" i="26"/>
  <c r="D77" i="26"/>
  <c r="C55" i="26"/>
  <c r="C84" i="26" s="1"/>
  <c r="W77" i="26"/>
  <c r="S77" i="26"/>
  <c r="O77" i="26"/>
  <c r="K77" i="26"/>
  <c r="G77" i="26"/>
  <c r="C77" i="26"/>
  <c r="C72" i="26"/>
  <c r="E97" i="26"/>
  <c r="F47" i="26"/>
  <c r="D87" i="26"/>
  <c r="E75" i="26"/>
  <c r="V77" i="26"/>
  <c r="R77" i="26"/>
  <c r="N77" i="26"/>
  <c r="J77" i="26"/>
  <c r="F77" i="26"/>
  <c r="B77" i="26"/>
  <c r="B72" i="26"/>
  <c r="U77" i="26"/>
  <c r="Q77" i="26"/>
  <c r="M77" i="26"/>
  <c r="I77" i="26"/>
  <c r="E77" i="26"/>
  <c r="B73" i="26" l="1"/>
  <c r="E87" i="26"/>
  <c r="F75" i="26"/>
  <c r="F97" i="26"/>
  <c r="G47" i="26"/>
  <c r="C73" i="26"/>
  <c r="C74" i="26" s="1"/>
  <c r="D53" i="26"/>
  <c r="G97" i="26" l="1"/>
  <c r="H47" i="26"/>
  <c r="F87" i="26"/>
  <c r="G75" i="26"/>
  <c r="B80" i="26"/>
  <c r="B85" i="26" s="1"/>
  <c r="D55" i="26"/>
  <c r="B74" i="26"/>
  <c r="C80" i="26" l="1"/>
  <c r="C85" i="26" s="1"/>
  <c r="C88" i="26" s="1"/>
  <c r="D84" i="26"/>
  <c r="D56" i="26"/>
  <c r="D71" i="26" s="1"/>
  <c r="G87" i="26"/>
  <c r="H75" i="26"/>
  <c r="H97" i="26"/>
  <c r="I47" i="26"/>
  <c r="E53" i="26"/>
  <c r="C90" i="26"/>
  <c r="B90" i="26"/>
  <c r="B88" i="26"/>
  <c r="B86" i="26"/>
  <c r="B91" i="26" s="1"/>
  <c r="C86" i="26"/>
  <c r="I97" i="26" l="1"/>
  <c r="J47" i="26"/>
  <c r="H87" i="26"/>
  <c r="I75" i="26"/>
  <c r="D79" i="26"/>
  <c r="D72" i="26"/>
  <c r="C98" i="26"/>
  <c r="C91" i="26"/>
  <c r="B89" i="26"/>
  <c r="B92" i="26" s="1"/>
  <c r="C89" i="26"/>
  <c r="E55" i="26"/>
  <c r="B73" i="22"/>
  <c r="B67" i="22"/>
  <c r="B65" i="22"/>
  <c r="B32" i="22"/>
  <c r="B41" i="22"/>
  <c r="B50" i="22"/>
  <c r="B30" i="22" s="1"/>
  <c r="B29" i="22" s="1"/>
  <c r="E84" i="26" l="1"/>
  <c r="E56" i="26"/>
  <c r="E71" i="26" s="1"/>
  <c r="C99" i="26"/>
  <c r="C92" i="26"/>
  <c r="F53" i="26"/>
  <c r="D73" i="26"/>
  <c r="D74" i="26" s="1"/>
  <c r="I87" i="26"/>
  <c r="J75" i="26"/>
  <c r="J97" i="26"/>
  <c r="K47" i="26"/>
  <c r="K97" i="26" l="1"/>
  <c r="L47" i="26"/>
  <c r="J87" i="26"/>
  <c r="K75" i="26"/>
  <c r="D80" i="26"/>
  <c r="D85" i="26" s="1"/>
  <c r="F55" i="26"/>
  <c r="G53" i="26"/>
  <c r="E79" i="26"/>
  <c r="E72" i="26"/>
  <c r="E73" i="26" l="1"/>
  <c r="G55" i="26"/>
  <c r="D88" i="26"/>
  <c r="D86" i="26"/>
  <c r="D90" i="26"/>
  <c r="F84" i="26"/>
  <c r="F56" i="26"/>
  <c r="F71" i="26" s="1"/>
  <c r="K87" i="26"/>
  <c r="L75" i="26"/>
  <c r="L97" i="26"/>
  <c r="M47" i="26"/>
  <c r="O27" i="13"/>
  <c r="M97" i="26" l="1"/>
  <c r="N47" i="26"/>
  <c r="L87" i="26"/>
  <c r="M75" i="26"/>
  <c r="F79" i="26"/>
  <c r="F72" i="26"/>
  <c r="G84" i="26"/>
  <c r="G56" i="26"/>
  <c r="G71" i="26" s="1"/>
  <c r="E80" i="26"/>
  <c r="E85" i="26" s="1"/>
  <c r="D98" i="26"/>
  <c r="D91" i="26"/>
  <c r="D89" i="26"/>
  <c r="H53" i="26"/>
  <c r="E74" i="26"/>
  <c r="H55" i="26" l="1"/>
  <c r="I53" i="26" s="1"/>
  <c r="E88" i="26"/>
  <c r="E90" i="26"/>
  <c r="E86" i="26"/>
  <c r="G79" i="26"/>
  <c r="G72" i="26"/>
  <c r="F73" i="26"/>
  <c r="F74" i="26" s="1"/>
  <c r="M87" i="26"/>
  <c r="N75" i="26"/>
  <c r="N97" i="26"/>
  <c r="O47" i="26"/>
  <c r="D99" i="26"/>
  <c r="D92" i="26"/>
  <c r="O97" i="26" l="1"/>
  <c r="P47" i="26"/>
  <c r="N87" i="26"/>
  <c r="O75" i="26"/>
  <c r="F80" i="26"/>
  <c r="F85" i="26" s="1"/>
  <c r="G73" i="26"/>
  <c r="G74" i="26" s="1"/>
  <c r="E98" i="26"/>
  <c r="E91" i="26"/>
  <c r="E89" i="26"/>
  <c r="I55" i="26"/>
  <c r="J53" i="26" s="1"/>
  <c r="H84" i="26"/>
  <c r="H56" i="26"/>
  <c r="H71" i="26" s="1"/>
  <c r="J55" i="26" l="1"/>
  <c r="F88" i="26"/>
  <c r="F90" i="26"/>
  <c r="F86" i="26"/>
  <c r="O87" i="26"/>
  <c r="P75" i="26"/>
  <c r="P97" i="26"/>
  <c r="Q47" i="26"/>
  <c r="H79" i="26"/>
  <c r="H72" i="26"/>
  <c r="I84" i="26"/>
  <c r="I56" i="26"/>
  <c r="I71" i="26" s="1"/>
  <c r="E99" i="26"/>
  <c r="E92" i="26"/>
  <c r="G80" i="26"/>
  <c r="G85" i="26" s="1"/>
  <c r="G88" i="26" s="1"/>
  <c r="G90" i="26" l="1"/>
  <c r="G86" i="26"/>
  <c r="J84" i="26"/>
  <c r="J56" i="26"/>
  <c r="J71" i="26" s="1"/>
  <c r="I79" i="26"/>
  <c r="I72" i="26"/>
  <c r="H73" i="26"/>
  <c r="H74" i="26" s="1"/>
  <c r="Q97" i="26"/>
  <c r="R47" i="26"/>
  <c r="P87" i="26"/>
  <c r="Q75" i="26"/>
  <c r="F98" i="26"/>
  <c r="F91" i="26"/>
  <c r="F89" i="26"/>
  <c r="G89" i="26"/>
  <c r="K53" i="26"/>
  <c r="G99" i="26" l="1"/>
  <c r="G92" i="26"/>
  <c r="F99" i="26"/>
  <c r="F92" i="26"/>
  <c r="K55" i="26"/>
  <c r="L53" i="26" s="1"/>
  <c r="Q87" i="26"/>
  <c r="R75" i="26"/>
  <c r="R97" i="26"/>
  <c r="S47" i="26"/>
  <c r="H80" i="26"/>
  <c r="H85" i="26" s="1"/>
  <c r="I73" i="26"/>
  <c r="I80" i="26" s="1"/>
  <c r="I85" i="26" s="1"/>
  <c r="J79" i="26"/>
  <c r="J72" i="26"/>
  <c r="G98" i="26"/>
  <c r="G91" i="26"/>
  <c r="I88" i="26" l="1"/>
  <c r="I90" i="26"/>
  <c r="I86" i="26"/>
  <c r="H88" i="26"/>
  <c r="H86" i="26"/>
  <c r="H90" i="26"/>
  <c r="L55" i="26"/>
  <c r="M53" i="26" s="1"/>
  <c r="J73" i="26"/>
  <c r="J80" i="26" s="1"/>
  <c r="J85" i="26" s="1"/>
  <c r="I74" i="26"/>
  <c r="S97" i="26"/>
  <c r="T47" i="26"/>
  <c r="R87" i="26"/>
  <c r="S75" i="26"/>
  <c r="K84" i="26"/>
  <c r="K56" i="26"/>
  <c r="K71" i="26" s="1"/>
  <c r="J88" i="26" l="1"/>
  <c r="J89" i="26" s="1"/>
  <c r="J90" i="26"/>
  <c r="J86" i="26"/>
  <c r="S87" i="26"/>
  <c r="T75" i="26"/>
  <c r="T97" i="26"/>
  <c r="U47" i="26"/>
  <c r="K79" i="26"/>
  <c r="K72" i="26"/>
  <c r="M55" i="26"/>
  <c r="N53" i="26" s="1"/>
  <c r="H89" i="26"/>
  <c r="I89" i="26"/>
  <c r="J74" i="26"/>
  <c r="L84" i="26"/>
  <c r="L56" i="26"/>
  <c r="L71" i="26" s="1"/>
  <c r="H98" i="26"/>
  <c r="H91" i="26"/>
  <c r="I98" i="26"/>
  <c r="I91" i="26"/>
  <c r="N55" i="26" l="1"/>
  <c r="L79" i="26"/>
  <c r="L72" i="26"/>
  <c r="I99" i="26"/>
  <c r="I92" i="26"/>
  <c r="J99" i="26"/>
  <c r="J92" i="26"/>
  <c r="H99" i="26"/>
  <c r="H92" i="26"/>
  <c r="M84" i="26"/>
  <c r="M56" i="26"/>
  <c r="M71" i="26" s="1"/>
  <c r="K73" i="26"/>
  <c r="K80" i="26" s="1"/>
  <c r="K85" i="26" s="1"/>
  <c r="U97" i="26"/>
  <c r="V47" i="26"/>
  <c r="T87" i="26"/>
  <c r="U75" i="26"/>
  <c r="J98" i="26"/>
  <c r="J91" i="26"/>
  <c r="K88" i="26" l="1"/>
  <c r="K89" i="26" s="1"/>
  <c r="K86" i="26"/>
  <c r="K90" i="26"/>
  <c r="K74" i="26"/>
  <c r="N84" i="26"/>
  <c r="N56" i="26"/>
  <c r="N71" i="26" s="1"/>
  <c r="U87" i="26"/>
  <c r="V75" i="26"/>
  <c r="V97" i="26"/>
  <c r="W47" i="26"/>
  <c r="X47" i="26" s="1"/>
  <c r="Y47" i="26" s="1"/>
  <c r="M79" i="26"/>
  <c r="M72" i="26"/>
  <c r="L73" i="26"/>
  <c r="L80" i="26" s="1"/>
  <c r="L85" i="26" s="1"/>
  <c r="O53" i="26"/>
  <c r="L88" i="26" l="1"/>
  <c r="L89" i="26" s="1"/>
  <c r="L90" i="26"/>
  <c r="L86" i="26"/>
  <c r="Y63" i="26"/>
  <c r="Y60" i="26" s="1"/>
  <c r="Y68" i="26" s="1"/>
  <c r="Y70" i="26" s="1"/>
  <c r="Z47" i="26"/>
  <c r="V87" i="26"/>
  <c r="W75" i="26"/>
  <c r="N79" i="26"/>
  <c r="N72" i="26"/>
  <c r="O55" i="26"/>
  <c r="P53" i="26" s="1"/>
  <c r="L74" i="26"/>
  <c r="K98" i="26"/>
  <c r="K91" i="26"/>
  <c r="M73" i="26"/>
  <c r="M80" i="26" s="1"/>
  <c r="M85" i="26" s="1"/>
  <c r="K99" i="26"/>
  <c r="K92" i="26"/>
  <c r="M74" i="26" l="1"/>
  <c r="M88" i="26"/>
  <c r="M89" i="26" s="1"/>
  <c r="M86" i="26"/>
  <c r="M90" i="26"/>
  <c r="P55" i="26"/>
  <c r="Q53" i="26" s="1"/>
  <c r="Y77" i="26"/>
  <c r="O84" i="26"/>
  <c r="O56" i="26"/>
  <c r="O71" i="26" s="1"/>
  <c r="N73" i="26"/>
  <c r="N80" i="26" s="1"/>
  <c r="N85" i="26" s="1"/>
  <c r="W87" i="26"/>
  <c r="X75" i="26"/>
  <c r="L98" i="26"/>
  <c r="L91" i="26"/>
  <c r="L99" i="26"/>
  <c r="L92" i="26"/>
  <c r="N74" i="26" l="1"/>
  <c r="N88" i="26"/>
  <c r="N89" i="26" s="1"/>
  <c r="N90" i="26"/>
  <c r="N86" i="26"/>
  <c r="Q55" i="26"/>
  <c r="X87" i="26"/>
  <c r="Y75" i="26"/>
  <c r="O79" i="26"/>
  <c r="O72" i="26"/>
  <c r="P84" i="26"/>
  <c r="P56" i="26"/>
  <c r="P71" i="26" s="1"/>
  <c r="M98" i="26"/>
  <c r="M91" i="26"/>
  <c r="M99" i="26"/>
  <c r="M92" i="26"/>
  <c r="P79" i="26" l="1"/>
  <c r="P72" i="26"/>
  <c r="O73" i="26"/>
  <c r="O80" i="26" s="1"/>
  <c r="O85" i="26" s="1"/>
  <c r="Y87" i="26"/>
  <c r="Z75" i="26"/>
  <c r="Z87" i="26" s="1"/>
  <c r="Q84" i="26"/>
  <c r="Q56" i="26"/>
  <c r="Q71" i="26" s="1"/>
  <c r="R53" i="26"/>
  <c r="N98" i="26"/>
  <c r="N91" i="26"/>
  <c r="N99" i="26"/>
  <c r="N92" i="26"/>
  <c r="O74" i="26" l="1"/>
  <c r="R55" i="26"/>
  <c r="S53" i="26" s="1"/>
  <c r="Q79" i="26"/>
  <c r="Q72" i="26"/>
  <c r="P73" i="26"/>
  <c r="P80" i="26" s="1"/>
  <c r="O88" i="26"/>
  <c r="O89" i="26" s="1"/>
  <c r="O86" i="26"/>
  <c r="O90" i="26"/>
  <c r="P85" i="26"/>
  <c r="P88" i="26" l="1"/>
  <c r="P89" i="26" s="1"/>
  <c r="P90" i="26"/>
  <c r="P86" i="26"/>
  <c r="O98" i="26"/>
  <c r="O91" i="26"/>
  <c r="Q73" i="26"/>
  <c r="Q80" i="26" s="1"/>
  <c r="Q85" i="26" s="1"/>
  <c r="S55" i="26"/>
  <c r="T53" i="26" s="1"/>
  <c r="O99" i="26"/>
  <c r="O92" i="26"/>
  <c r="P74" i="26"/>
  <c r="R84" i="26"/>
  <c r="R56" i="26"/>
  <c r="R71" i="26" s="1"/>
  <c r="Q88" i="26" l="1"/>
  <c r="Q89" i="26" s="1"/>
  <c r="Q90" i="26"/>
  <c r="Q86" i="26"/>
  <c r="T55" i="26"/>
  <c r="R79" i="26"/>
  <c r="R72" i="26"/>
  <c r="S84" i="26"/>
  <c r="S56" i="26"/>
  <c r="S71" i="26" s="1"/>
  <c r="Q74" i="26"/>
  <c r="P98" i="26"/>
  <c r="P91" i="26"/>
  <c r="P99" i="26"/>
  <c r="P92" i="26"/>
  <c r="T84" i="26" l="1"/>
  <c r="T56" i="26"/>
  <c r="T71" i="26" s="1"/>
  <c r="S79" i="26"/>
  <c r="S72" i="26"/>
  <c r="R73" i="26"/>
  <c r="R80" i="26" s="1"/>
  <c r="R85" i="26" s="1"/>
  <c r="U53" i="26"/>
  <c r="Q98" i="26"/>
  <c r="Q91" i="26"/>
  <c r="Q99" i="26"/>
  <c r="Q92" i="26"/>
  <c r="R74" i="26" l="1"/>
  <c r="R88" i="26"/>
  <c r="R89" i="26" s="1"/>
  <c r="R86" i="26"/>
  <c r="R90" i="26"/>
  <c r="U55" i="26"/>
  <c r="S73" i="26"/>
  <c r="S80" i="26" s="1"/>
  <c r="S85" i="26" s="1"/>
  <c r="T79" i="26"/>
  <c r="T72" i="26"/>
  <c r="S88" i="26" l="1"/>
  <c r="S89" i="26" s="1"/>
  <c r="S90" i="26"/>
  <c r="S86" i="26"/>
  <c r="U84" i="26"/>
  <c r="U56" i="26"/>
  <c r="U71" i="26" s="1"/>
  <c r="T73" i="26"/>
  <c r="T80" i="26" s="1"/>
  <c r="T85" i="26" s="1"/>
  <c r="S74" i="26"/>
  <c r="V53" i="26"/>
  <c r="R98" i="26"/>
  <c r="R91" i="26"/>
  <c r="R99" i="26"/>
  <c r="R92" i="26"/>
  <c r="T88" i="26" l="1"/>
  <c r="T89" i="26" s="1"/>
  <c r="T90" i="26"/>
  <c r="T86" i="26"/>
  <c r="V55" i="26"/>
  <c r="V56" i="26" s="1"/>
  <c r="V71" i="26" s="1"/>
  <c r="U79" i="26"/>
  <c r="U72" i="26"/>
  <c r="T74" i="26"/>
  <c r="S98" i="26"/>
  <c r="S91" i="26"/>
  <c r="S99" i="26"/>
  <c r="S92" i="26"/>
  <c r="V79" i="26" l="1"/>
  <c r="V72" i="26"/>
  <c r="U73" i="26"/>
  <c r="U80" i="26" s="1"/>
  <c r="U85" i="26" s="1"/>
  <c r="W53" i="26"/>
  <c r="T98" i="26"/>
  <c r="T91" i="26"/>
  <c r="T99" i="26"/>
  <c r="T92" i="26"/>
  <c r="U88" i="26" l="1"/>
  <c r="U89" i="26" s="1"/>
  <c r="U90" i="26"/>
  <c r="U86" i="26"/>
  <c r="W55" i="26"/>
  <c r="U74" i="26"/>
  <c r="V73" i="26"/>
  <c r="V80" i="26" s="1"/>
  <c r="V85" i="26" s="1"/>
  <c r="V74" i="26" l="1"/>
  <c r="W84" i="26"/>
  <c r="W56" i="26"/>
  <c r="W71" i="26" s="1"/>
  <c r="V88" i="26"/>
  <c r="V89" i="26" s="1"/>
  <c r="V90" i="26"/>
  <c r="V86" i="26"/>
  <c r="X53" i="26"/>
  <c r="U98" i="26"/>
  <c r="U91" i="26"/>
  <c r="U99" i="26"/>
  <c r="U92" i="26"/>
  <c r="W79" i="26" l="1"/>
  <c r="W72" i="26"/>
  <c r="X55" i="26"/>
  <c r="Y53" i="26" s="1"/>
  <c r="V98" i="26"/>
  <c r="V91" i="26"/>
  <c r="V99" i="26"/>
  <c r="V92" i="26"/>
  <c r="Y55" i="26" l="1"/>
  <c r="W73" i="26"/>
  <c r="W80" i="26" s="1"/>
  <c r="W74" i="26"/>
  <c r="X84" i="26"/>
  <c r="X56" i="26"/>
  <c r="X71" i="26" s="1"/>
  <c r="W85" i="26"/>
  <c r="X79" i="26" l="1"/>
  <c r="X72" i="26"/>
  <c r="Y84" i="26"/>
  <c r="Y56" i="26"/>
  <c r="Y71" i="26" s="1"/>
  <c r="W88" i="26"/>
  <c r="W89" i="26" s="1"/>
  <c r="W86" i="26"/>
  <c r="W91" i="26" s="1"/>
  <c r="W90" i="26"/>
  <c r="Z53" i="26"/>
  <c r="Z55" i="26" s="1"/>
  <c r="Z84" i="26" l="1"/>
  <c r="Z56" i="26"/>
  <c r="Z71" i="26" s="1"/>
  <c r="Y79" i="26"/>
  <c r="Y72" i="26"/>
  <c r="X73" i="26"/>
  <c r="X80" i="26" s="1"/>
  <c r="X85" i="26" s="1"/>
  <c r="W92" i="26"/>
  <c r="G27" i="26"/>
  <c r="G28" i="26" s="1"/>
  <c r="X88" i="26" l="1"/>
  <c r="X89" i="26" s="1"/>
  <c r="X92" i="26" s="1"/>
  <c r="X90" i="26"/>
  <c r="X86" i="26"/>
  <c r="X91" i="26" s="1"/>
  <c r="Z79" i="26"/>
  <c r="Z72" i="26"/>
  <c r="Y73" i="26"/>
  <c r="Y80" i="26" s="1"/>
  <c r="Y85" i="26" s="1"/>
  <c r="X74" i="26"/>
  <c r="Y88" i="26" l="1"/>
  <c r="Y89" i="26" s="1"/>
  <c r="Y92" i="26" s="1"/>
  <c r="Y90" i="26"/>
  <c r="Y86" i="26"/>
  <c r="Y91" i="26" s="1"/>
  <c r="Y74" i="26"/>
  <c r="Z73" i="26"/>
  <c r="Z80" i="26" s="1"/>
  <c r="Z85" i="26" s="1"/>
  <c r="Z74" i="26" l="1"/>
  <c r="Z88" i="26"/>
  <c r="Z89" i="26" s="1"/>
  <c r="Z92" i="26" s="1"/>
  <c r="G26" i="26" s="1"/>
  <c r="Z86" i="26"/>
  <c r="Z91" i="26" s="1"/>
  <c r="G25" i="26" s="1"/>
  <c r="Z90" i="26"/>
  <c r="A5" i="22" l="1"/>
  <c r="B52" i="22" l="1"/>
  <c r="B66" i="22" l="1"/>
  <c r="B64" i="22"/>
  <c r="B59" i="22" l="1"/>
  <c r="B62" i="22" s="1"/>
  <c r="B22" i="22"/>
  <c r="A15" i="22"/>
  <c r="B21" i="22" s="1"/>
  <c r="A9" i="22"/>
  <c r="A12" i="22"/>
  <c r="C49" i="7"/>
  <c r="C48" i="7"/>
  <c r="A8" i="17" l="1"/>
  <c r="E9" i="14"/>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<sst xmlns="http://schemas.openxmlformats.org/spreadsheetml/2006/main" count="1105" uniqueCount="595">
  <si>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</si>
  <si>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</si>
  <si>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</si>
  <si>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</si>
  <si>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</si>
  <si>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</si>
  <si>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</si>
  <si>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</si>
  <si>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</si>
  <si>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</si>
  <si>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</si>
  <si>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</si>
  <si>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</si>
  <si>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</si>
  <si>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</si>
  <si>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</si>
  <si>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</si>
  <si>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</si>
  <si>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</si>
  <si>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</si>
  <si>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</si>
  <si>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</si>
  <si>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</si>
  <si>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</si>
  <si>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</si>
  <si>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</si>
  <si>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</si>
  <si>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</si>
  <si>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</si>
  <si>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</si>
  <si>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</si>
  <si>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</si>
  <si>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</si>
  <si>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</si>
  <si>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</si>
  <si>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</si>
  <si>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</si>
  <si>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</si>
  <si>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</si>
  <si>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</si>
  <si>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</si>
  <si>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</si>
  <si>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</si>
  <si>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</si>
  <si>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</si>
  <si>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</si>
  <si>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</si>
  <si>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</si>
  <si>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</si>
  <si>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</si>
  <si>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</si>
  <si>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</si>
  <si>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</si>
  <si>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</si>
  <si>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</si>
  <si>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</si>
  <si>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</si>
  <si>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</si>
  <si>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</si>
  <si>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</si>
  <si>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</si>
  <si>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</si>
  <si>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</si>
  <si>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</si>
  <si>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</si>
  <si>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</si>
  <si>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</si>
  <si>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</si>
  <si>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</si>
  <si>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</si>
  <si>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</si>
  <si>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</si>
  <si>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</si>
  <si>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</si>
  <si>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</si>
  <si>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</si>
  <si>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</si>
  <si>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</si>
  <si>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</si>
  <si>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</si>
  <si>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</si>
  <si>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</si>
  <si>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</si>
  <si>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</si>
  <si>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</si>
  <si>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</si>
  <si>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</si>
  <si>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</si>
  <si>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</si>
  <si>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</si>
  <si>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</si>
  <si>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</si>
  <si>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</si>
  <si>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</si>
  <si>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</si>
  <si>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</si>
  <si>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</si>
  <si>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</si>
  <si>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</si>
  <si>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</si>
  <si>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</si>
  <si>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</si>
  <si>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</si>
  <si>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</si>
  <si>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</si>
  <si>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</si>
  <si>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</si>
  <si>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</si>
  <si>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</si>
  <si>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</si>
  <si>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</si>
  <si>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</si>
  <si>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</si>
  <si>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</si>
  <si>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</si>
  <si>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</si>
  <si>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</si>
  <si>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</si>
  <si>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</si>
  <si>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</si>
  <si>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</si>
  <si>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</si>
  <si>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</si>
  <si>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</si>
  <si>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</si>
  <si>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</si>
  <si>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</si>
  <si>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</si>
  <si>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</si>
  <si>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</si>
  <si>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</si>
  <si>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</si>
  <si>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</si>
  <si>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</si>
  <si>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</si>
  <si>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</si>
  <si>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</si>
  <si>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</si>
  <si>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</si>
  <si>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</si>
  <si>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</si>
  <si>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</si>
  <si>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</si>
  <si>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</si>
  <si>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</si>
  <si>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</si>
  <si>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</si>
  <si>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</si>
  <si>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</si>
  <si>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</si>
  <si>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</si>
  <si>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</si>
  <si>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</si>
  <si>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</si>
  <si>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</si>
  <si>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</si>
  <si>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</si>
  <si>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</si>
  <si>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</si>
  <si>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</si>
  <si>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</si>
  <si>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</si>
  <si>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</si>
  <si>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</si>
  <si>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</si>
  <si>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</si>
  <si>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</si>
  <si>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</si>
  <si>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</si>
  <si>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</si>
  <si>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</si>
  <si>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</si>
  <si>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</si>
  <si>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</si>
  <si>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</si>
  <si>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</si>
  <si>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</si>
  <si>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</si>
  <si>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</si>
  <si>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</si>
  <si>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</si>
  <si>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</si>
  <si>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</si>
  <si>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</si>
  <si>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</si>
  <si>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</si>
  <si>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</si>
  <si>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</si>
  <si>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</si>
  <si>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</si>
  <si>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</si>
  <si>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</si>
  <si>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</si>
  <si>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</si>
  <si>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</si>
  <si>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</si>
  <si>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</si>
  <si>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</si>
  <si>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</si>
  <si>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</si>
  <si>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</si>
  <si>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</si>
  <si>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</si>
  <si>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</si>
  <si>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</si>
  <si>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</si>
  <si>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</si>
  <si>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</si>
  <si>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</si>
  <si>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</si>
  <si>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</si>
  <si>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</si>
  <si>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</si>
  <si>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</si>
  <si>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</si>
  <si>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</si>
  <si>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</si>
  <si>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</si>
  <si>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</si>
  <si>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</si>
  <si>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</si>
  <si>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</si>
  <si>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</si>
  <si>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</si>
  <si>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</si>
  <si>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</si>
  <si>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</si>
  <si>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</si>
  <si>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</si>
  <si>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</si>
  <si>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</si>
  <si>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</si>
  <si>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</si>
  <si>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</si>
  <si>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</si>
  <si>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</si>
  <si>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</si>
  <si>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</si>
  <si>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</si>
  <si>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</si>
  <si>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</si>
  <si>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</si>
  <si>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</si>
  <si>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</si>
  <si>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</si>
  <si>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</si>
  <si>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</si>
  <si>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</si>
  <si>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</si>
  <si>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</si>
  <si>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</si>
  <si>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</si>
  <si>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</si>
  <si>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</si>
  <si>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</si>
  <si>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</si>
  <si>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</si>
  <si>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</si>
  <si>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</si>
  <si>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</si>
  <si>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</si>
  <si>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</si>
  <si>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</si>
  <si>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</si>
  <si>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</si>
  <si>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</si>
  <si>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</si>
  <si>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</si>
  <si>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</si>
  <si>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</si>
  <si>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</si>
  <si>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</si>
  <si>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</si>
  <si>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</si>
  <si>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</si>
  <si>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</si>
  <si>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</si>
  <si>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</si>
  <si>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</si>
  <si>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</si>
  <si>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</si>
  <si>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</si>
  <si>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</si>
  <si>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</si>
  <si>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</si>
  <si>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</si>
  <si>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</si>
  <si>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</si>
  <si>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</si>
  <si>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</si>
  <si>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</si>
  <si>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</si>
  <si>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</si>
  <si>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</si>
  <si>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</si>
  <si>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</si>
  <si>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</si>
  <si>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</si>
  <si>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</si>
  <si>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</si>
  <si>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</si>
  <si>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</si>
  <si>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</si>
  <si>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</si>
  <si>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</si>
  <si>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</si>
  <si>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</si>
  <si>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</si>
  <si>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</si>
  <si>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</si>
  <si>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</si>
  <si>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</si>
  <si>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</si>
  <si>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</si>
  <si>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</si>
  <si>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</si>
  <si>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</si>
  <si>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</si>
  <si>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</si>
  <si>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</si>
  <si>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</si>
  <si>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</si>
  <si>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</si>
  <si>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</si>
  <si>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</si>
  <si>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</si>
  <si>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</si>
  <si>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</si>
  <si>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</si>
  <si>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</si>
  <si>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</si>
  <si>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</si>
  <si>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</si>
  <si>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</si>
  <si>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</si>
  <si>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</si>
  <si>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</si>
  <si>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</si>
  <si>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</si>
  <si>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</si>
  <si>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</si>
  <si>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</si>
  <si>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</si>
  <si>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</si>
  <si>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</si>
  <si>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</si>
  <si>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</si>
  <si>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</si>
  <si>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</si>
  <si>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</si>
  <si>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</si>
  <si>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</si>
  <si>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</si>
  <si>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</si>
  <si>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</si>
  <si>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</si>
  <si>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</si>
  <si>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</si>
  <si>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</si>
  <si>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</si>
  <si>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</si>
  <si>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</si>
  <si>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</si>
  <si>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</si>
  <si>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</si>
  <si>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</si>
  <si>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</si>
  <si>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</si>
  <si>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</si>
  <si>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</si>
  <si>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</si>
  <si>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</si>
  <si>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</si>
  <si>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</si>
  <si>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</si>
  <si>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</si>
  <si>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</si>
  <si>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</si>
  <si>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</si>
  <si>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</si>
  <si>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</si>
  <si>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</si>
  <si>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</si>
  <si>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</si>
  <si>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</si>
  <si>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</si>
  <si>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</si>
  <si>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</si>
  <si>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</si>
  <si>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</si>
  <si>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</si>
  <si>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</si>
  <si>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</si>
  <si>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</si>
  <si>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</si>
  <si>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</si>
  <si>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</si>
  <si>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</si>
  <si>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</si>
  <si>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</si>
  <si>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</si>
  <si>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</si>
  <si>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</si>
  <si>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</si>
  <si>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</si>
  <si>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</si>
  <si>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</si>
  <si>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</si>
  <si>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</si>
  <si>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</si>
  <si>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</si>
  <si>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</si>
  <si>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</si>
  <si>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</si>
  <si>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</si>
  <si>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</si>
  <si>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</si>
  <si>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</si>
  <si>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</si>
  <si>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</si>
  <si>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</si>
  <si>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</si>
  <si>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</si>
  <si>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</si>
  <si>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</si>
  <si>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</si>
  <si>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</si>
  <si>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</si>
  <si>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</si>
  <si>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</si>
  <si>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</si>
  <si>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</si>
  <si>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</si>
  <si>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</si>
  <si>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</si>
  <si>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</si>
  <si>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</si>
  <si>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</si>
  <si>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</si>
  <si>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</si>
  <si>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</si>
  <si>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</si>
  <si>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</si>
  <si>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</si>
  <si>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</si>
  <si>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</si>
  <si>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</si>
  <si>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</si>
  <si>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</si>
  <si>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</si>
  <si>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</si>
  <si>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</si>
  <si>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</si>
  <si>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</si>
  <si>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</si>
  <si>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</si>
  <si>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</si>
  <si>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</si>
  <si>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</si>
  <si>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</si>
  <si>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</si>
  <si>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</si>
  <si>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</si>
  <si>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</si>
  <si>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</si>
  <si>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</si>
  <si>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</si>
  <si>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</si>
  <si>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</si>
  <si>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</si>
  <si>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</si>
  <si>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</si>
  <si>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</si>
  <si>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</si>
  <si>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</si>
  <si>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</si>
  <si>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</si>
  <si>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</si>
  <si>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</si>
  <si>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</si>
  <si>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</si>
  <si>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</si>
  <si>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</si>
  <si>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</si>
  <si>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</si>
  <si>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</si>
  <si>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</si>
  <si>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</si>
  <si>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</si>
  <si>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</si>
  <si>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</si>
  <si>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</si>
  <si>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</si>
  <si>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</si>
  <si>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</si>
  <si>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</si>
  <si>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</si>
  <si>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</si>
  <si>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</si>
  <si>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</si>
  <si>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</si>
  <si>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</si>
  <si>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</si>
  <si>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</si>
  <si>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</si>
  <si>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</si>
  <si>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</si>
  <si>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</si>
  <si>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</si>
  <si>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</si>
  <si>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</si>
  <si>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</si>
  <si>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</si>
  <si>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</si>
  <si>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</si>
  <si>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</si>
  <si>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</si>
  <si>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</si>
  <si>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</si>
  <si>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</si>
  <si>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</si>
  <si>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</si>
  <si>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</si>
  <si>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</si>
  <si>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</si>
  <si>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</si>
  <si>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</si>
  <si>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</si>
  <si>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</si>
  <si>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КЛ</t>
  </si>
  <si>
    <t>нет</t>
  </si>
  <si>
    <t>не относится</t>
  </si>
  <si>
    <t>суммарно протяженность и мощность, в скобках прирост</t>
  </si>
  <si>
    <t xml:space="preserve"> -</t>
  </si>
  <si>
    <t xml:space="preserve">не требуется </t>
  </si>
  <si>
    <t>Стоимость по результатам проведенных закупок с НДС, млн. руб.</t>
  </si>
  <si>
    <t>Сметная стоимость проекта в ценах 2018 года с НДС 20%,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</si>
  <si>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</si>
  <si>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</si>
  <si>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Акционерное общество «Янтарьэнерго» ДЗО  ПАО «Россети»</t>
  </si>
  <si>
    <t>Приобретение электросетевого комплекса</t>
  </si>
  <si>
    <t>ООО "ТЭЦ-8"</t>
  </si>
  <si>
    <t>тыс.руб. с НДС</t>
  </si>
  <si>
    <t>рыночная стоимость земли</t>
  </si>
  <si>
    <t xml:space="preserve">NPV через 20 лет, тыс. руб. </t>
  </si>
  <si>
    <t>Целесообразность реализации проекта</t>
  </si>
  <si>
    <t xml:space="preserve">Первый  ремонт объекта, лет после постройки </t>
  </si>
  <si>
    <t>Капитальный ремонт объекта (1 раз в 8 лет)</t>
  </si>
  <si>
    <t>Срок рассрочки, лет</t>
  </si>
  <si>
    <t>WACC</t>
  </si>
  <si>
    <t>Рассрочка, руб.</t>
  </si>
  <si>
    <t xml:space="preserve">Поступление </t>
  </si>
  <si>
    <t xml:space="preserve">Расходы на обслуживание активов </t>
  </si>
  <si>
    <t>Покупка потерь</t>
  </si>
  <si>
    <t>Налог на имущество</t>
  </si>
  <si>
    <t>Налог на землю</t>
  </si>
  <si>
    <t xml:space="preserve">Расходы по ФОТ </t>
  </si>
  <si>
    <t xml:space="preserve">Прочие расходы на обслуживание </t>
  </si>
  <si>
    <t>EBITDA</t>
  </si>
  <si>
    <t>EBIT</t>
  </si>
  <si>
    <t>Инвестиции</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</si>
  <si>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</si>
  <si>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</si>
  <si>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</si>
  <si>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</si>
  <si>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</si>
  <si>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</si>
  <si>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</si>
  <si>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</si>
  <si>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Накопленный чистый денежный поток, млн. рублей</t>
  </si>
  <si>
    <t xml:space="preserve">Чистая приведенная стоимость (NPV), млн. рублей </t>
  </si>
  <si>
    <t>по состоянию на 01.01.2019</t>
  </si>
  <si>
    <t>Развитие электрической сети/усиление существующей электрической сети, не связанное с подключением новых потребителей</t>
  </si>
  <si>
    <t>Год раскрытия информации: 2019 год</t>
  </si>
  <si>
    <t>2019</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</si>
  <si>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</si>
  <si>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</si>
  <si>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</si>
  <si>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</si>
  <si>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отчет об оценке рыночной стоимости</t>
  </si>
  <si>
    <t>Городской округ "Город Калининград"</t>
  </si>
  <si>
    <t>0,4</t>
  </si>
  <si>
    <t>СВ-95</t>
  </si>
  <si>
    <t>J_140-109</t>
  </si>
  <si>
    <t>Приобретение электросетевого комплекса ул.1-ая Большая окружная, с/т г.Калининград (дог.безв 3509 от 10.04.2019 гр. Щербанев В.М.)</t>
  </si>
  <si>
    <r>
      <t>∆L</t>
    </r>
    <r>
      <rPr>
        <vertAlign val="superscript"/>
        <sz val="11"/>
        <rFont val="Calibri"/>
        <family val="2"/>
        <charset val="204"/>
        <scheme val="minor"/>
      </rPr>
      <t>0,4</t>
    </r>
    <r>
      <rPr>
        <vertAlign val="subscript"/>
        <sz val="11"/>
        <rFont val="Calibri"/>
        <family val="2"/>
        <charset val="204"/>
        <scheme val="minor"/>
      </rPr>
      <t>ЛЭП</t>
    </r>
    <r>
      <rPr>
        <sz val="11"/>
        <rFont val="Calibri"/>
        <family val="2"/>
        <scheme val="minor"/>
      </rPr>
      <t xml:space="preserve"> = 0,008 км</t>
    </r>
  </si>
  <si>
    <t>ВЛ 0,4 кВ от ТП-970</t>
  </si>
  <si>
    <t>ВЛ 0,4 кВ от ТП-970 оп.9-ЩВУ</t>
  </si>
  <si>
    <t>Приобретение электросетевого комплекса ул.1-ая Большая окружная, с/т г.Калининград ВЛ 0,4 кВ протяженностью 0,008 км (дог.безв 3509 от 10.04.2019 гр. Щербанев В.М.)</t>
  </si>
  <si>
    <t>ВЛ-0,4 кВ  0,128 млн рублей/км</t>
  </si>
  <si>
    <t>договор безвозмездной передачи электросетевого имущества от 10.04.2019 № 3509</t>
  </si>
  <si>
    <t>Стоимость объекта,  руб. без НДС</t>
  </si>
  <si>
    <t>0,008 (0,008) км</t>
  </si>
  <si>
    <t>договор безвозмездной передачи электросетевого имущества от 10.04.2019 № 3509 в ценах 2019 года без НДС</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</si>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</sst>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0"/>
    <numFmt numFmtId="176" formatCode="_-* #,##0\ _₽_-;\-* #,##0\ _₽_-;_-* &quot;-&quot;??\ _₽_-;_-@_-"/>
    <numFmt numFmtId="177" formatCode="_-* #,##0_р_._-;\-* #,##0_р_._-;_-* &quot;-&quot;??_р_._-;_-@_-"/>
    <numFmt numFmtId="178" formatCode="0.000000"/>
    <numFmt numFmtId="179"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10"/>
      <name val="Palatino Linotype"/>
      <family val="1"/>
      <charset val="204"/>
    </font>
    <font>
      <sz val="8"/>
      <name val="Times New Roman"/>
      <family val="1"/>
      <charset val="204"/>
    </font>
    <font>
      <b/>
      <u/>
      <sz val="14"/>
      <name val="Times New Roman"/>
      <family val="1"/>
      <charset val="204"/>
    </font>
    <font>
      <b/>
      <sz val="11"/>
      <color theme="0"/>
      <name val="Times New Roman"/>
      <family val="1"/>
      <charset val="204"/>
    </font>
    <font>
      <sz val="12"/>
      <color theme="0"/>
      <name val="Times New Roman"/>
      <family val="1"/>
      <charset val="204"/>
    </font>
    <font>
      <sz val="12"/>
      <color rgb="FFC00000"/>
      <name val="Times New Roman"/>
      <family val="1"/>
      <charset val="204"/>
    </font>
    <font>
      <sz val="12"/>
      <color theme="0" tint="-0.34998626667073579"/>
      <name val="Times New Roman"/>
      <family val="1"/>
      <charset val="204"/>
    </font>
    <font>
      <sz val="11"/>
      <color theme="0" tint="-0.34998626667073579"/>
      <name val="Times New Roman"/>
      <family val="1"/>
      <charset val="204"/>
    </font>
    <font>
      <sz val="10"/>
      <color theme="0" tint="-0.34998626667073579"/>
      <name val="Times New Roman"/>
      <family val="1"/>
      <charset val="204"/>
    </font>
    <font>
      <b/>
      <sz val="11"/>
      <color rgb="FFC00000"/>
      <name val="Times New Roman"/>
      <family val="1"/>
      <charset val="204"/>
    </font>
    <font>
      <vertAlign val="superscript"/>
      <sz val="11"/>
      <name val="Calibri"/>
      <family val="2"/>
      <charset val="204"/>
      <scheme val="minor"/>
    </font>
    <font>
      <vertAlign val="subscript"/>
      <sz val="1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164" fontId="44" fillId="0" borderId="0" applyFont="0" applyFill="0" applyBorder="0" applyAlignment="0" applyProtection="0"/>
  </cellStyleXfs>
  <cellXfs count="4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0"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9" xfId="2" applyNumberFormat="1" applyFont="1" applyFill="1" applyBorder="1" applyAlignment="1">
      <alignment horizontal="justify" vertical="top" wrapText="1"/>
    </xf>
    <xf numFmtId="174" fontId="40" fillId="0" borderId="34"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60"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1"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31" xfId="2" applyFont="1" applyFill="1" applyBorder="1" applyAlignment="1">
      <alignment horizontal="justify" vertical="top"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3" fontId="41" fillId="0" borderId="24" xfId="67" applyNumberFormat="1" applyFont="1" applyFill="1" applyBorder="1" applyAlignment="1">
      <alignment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171" fontId="41" fillId="0" borderId="24" xfId="67" applyNumberFormat="1" applyFont="1" applyFill="1" applyBorder="1" applyAlignment="1">
      <alignment vertical="center"/>
    </xf>
    <xf numFmtId="173" fontId="42"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9" fontId="40" fillId="0" borderId="29" xfId="74" applyFont="1" applyFill="1" applyBorder="1" applyAlignment="1">
      <alignment horizontal="justify" vertical="top" wrapText="1"/>
    </xf>
    <xf numFmtId="9" fontId="40" fillId="0" borderId="35" xfId="74" applyFont="1" applyFill="1" applyBorder="1" applyAlignment="1">
      <alignment horizontal="justify" vertical="top" wrapText="1"/>
    </xf>
    <xf numFmtId="175" fontId="37" fillId="0" borderId="1" xfId="49" applyNumberFormat="1" applyFont="1" applyBorder="1" applyAlignment="1">
      <alignment horizontal="center" vertical="center"/>
    </xf>
    <xf numFmtId="2" fontId="40" fillId="0" borderId="29" xfId="2" applyNumberFormat="1" applyFont="1" applyFill="1" applyBorder="1" applyAlignment="1">
      <alignment horizontal="justify" vertical="top" wrapText="1"/>
    </xf>
    <xf numFmtId="2"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29" xfId="2" applyFont="1" applyFill="1" applyBorder="1" applyAlignment="1">
      <alignment horizontal="left" vertical="top" wrapText="1"/>
    </xf>
    <xf numFmtId="0" fontId="40" fillId="0" borderId="34" xfId="2" applyFont="1" applyFill="1" applyBorder="1" applyAlignment="1">
      <alignment horizontal="left" vertical="top" wrapText="1"/>
    </xf>
    <xf numFmtId="0" fontId="42" fillId="0" borderId="0" xfId="0" applyFont="1" applyFill="1" applyAlignment="1">
      <alignment horizontal="center" vertical="center"/>
    </xf>
    <xf numFmtId="0" fontId="45" fillId="25" borderId="1" xfId="0" applyFont="1" applyFill="1" applyBorder="1" applyAlignment="1">
      <alignment horizontal="center" vertical="center" wrapText="1"/>
    </xf>
    <xf numFmtId="49" fontId="45" fillId="25" borderId="1" xfId="0" applyNumberFormat="1" applyFont="1" applyFill="1" applyBorder="1" applyAlignment="1">
      <alignment horizontal="center" vertical="center"/>
    </xf>
    <xf numFmtId="0" fontId="62" fillId="25" borderId="1" xfId="0" applyNumberFormat="1" applyFont="1" applyFill="1" applyBorder="1" applyAlignment="1">
      <alignment horizontal="center" vertical="center"/>
    </xf>
    <xf numFmtId="0" fontId="45"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2" fontId="61" fillId="0" borderId="1" xfId="1" applyNumberFormat="1" applyFont="1" applyFill="1" applyBorder="1" applyAlignment="1">
      <alignment horizontal="left"/>
    </xf>
    <xf numFmtId="0" fontId="61"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49" fontId="45" fillId="25" borderId="2" xfId="0" applyNumberFormat="1" applyFont="1" applyFill="1" applyBorder="1" applyAlignment="1">
      <alignment horizontal="center" vertical="center" wrapText="1"/>
    </xf>
    <xf numFmtId="174" fontId="11" fillId="0" borderId="1" xfId="1" applyNumberFormat="1" applyFont="1" applyFill="1" applyBorder="1" applyAlignment="1">
      <alignment horizontal="left" vertical="center" wrapText="1"/>
    </xf>
    <xf numFmtId="0" fontId="61" fillId="0" borderId="1" xfId="1" applyFont="1" applyFill="1" applyBorder="1" applyAlignment="1">
      <alignment wrapText="1"/>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0" fontId="11" fillId="0" borderId="0" xfId="67" applyFont="1" applyAlignment="1">
      <alignment vertical="center"/>
    </xf>
    <xf numFmtId="0" fontId="65" fillId="0" borderId="0" xfId="67" applyFont="1" applyAlignment="1">
      <alignment vertical="center" wrapText="1"/>
    </xf>
    <xf numFmtId="0" fontId="65" fillId="0" borderId="0" xfId="62" applyFont="1" applyAlignment="1">
      <alignment vertical="center"/>
    </xf>
    <xf numFmtId="0" fontId="66" fillId="0" borderId="0" xfId="67" applyFont="1" applyAlignment="1">
      <alignment vertical="center"/>
    </xf>
    <xf numFmtId="176" fontId="66" fillId="0" borderId="0" xfId="75" applyNumberFormat="1" applyFont="1" applyAlignment="1">
      <alignment vertical="center"/>
    </xf>
    <xf numFmtId="177" fontId="66" fillId="0" borderId="0" xfId="76" applyNumberFormat="1" applyFont="1" applyAlignment="1">
      <alignment vertical="center"/>
    </xf>
    <xf numFmtId="0" fontId="41" fillId="0" borderId="0" xfId="67" applyFont="1" applyAlignment="1">
      <alignment vertical="center"/>
    </xf>
    <xf numFmtId="3" fontId="11" fillId="0" borderId="0" xfId="67" applyNumberFormat="1" applyFont="1" applyAlignment="1">
      <alignment vertical="center"/>
    </xf>
    <xf numFmtId="176" fontId="11" fillId="0" borderId="0" xfId="67" applyNumberFormat="1" applyFont="1" applyAlignment="1">
      <alignment vertical="center"/>
    </xf>
    <xf numFmtId="0" fontId="67" fillId="0" borderId="0" xfId="67" applyFont="1" applyAlignment="1">
      <alignment vertical="center"/>
    </xf>
    <xf numFmtId="0" fontId="12" fillId="0" borderId="0" xfId="67" applyFont="1" applyAlignment="1">
      <alignment wrapText="1"/>
    </xf>
    <xf numFmtId="3" fontId="41" fillId="0" borderId="0" xfId="67" applyNumberFormat="1" applyFont="1" applyAlignment="1">
      <alignment vertical="center"/>
    </xf>
    <xf numFmtId="0" fontId="41" fillId="0" borderId="0" xfId="67" applyFont="1" applyAlignment="1">
      <alignment horizontal="center" vertical="center"/>
    </xf>
    <xf numFmtId="0" fontId="11" fillId="0" borderId="0" xfId="67" applyFont="1" applyAlignment="1">
      <alignment horizontal="right" vertical="center"/>
    </xf>
    <xf numFmtId="0" fontId="65" fillId="0" borderId="0" xfId="67" applyFont="1" applyAlignment="1">
      <alignment vertical="center"/>
    </xf>
    <xf numFmtId="0" fontId="45" fillId="0" borderId="0" xfId="67" applyFont="1" applyAlignment="1">
      <alignment vertical="center"/>
    </xf>
    <xf numFmtId="0" fontId="11" fillId="0" borderId="36" xfId="67" applyFont="1" applyBorder="1" applyAlignment="1">
      <alignment vertical="center"/>
    </xf>
    <xf numFmtId="177" fontId="11" fillId="0" borderId="0" xfId="76" applyNumberFormat="1" applyFont="1" applyAlignment="1">
      <alignment vertical="center"/>
    </xf>
    <xf numFmtId="0" fontId="45" fillId="0" borderId="1" xfId="67" applyFont="1" applyFill="1" applyBorder="1" applyAlignment="1">
      <alignment vertical="center"/>
    </xf>
    <xf numFmtId="0" fontId="66" fillId="0" borderId="1" xfId="67" applyFont="1" applyFill="1" applyBorder="1" applyAlignment="1">
      <alignment vertical="center"/>
    </xf>
    <xf numFmtId="4" fontId="45" fillId="0" borderId="1" xfId="67" applyNumberFormat="1" applyFont="1" applyFill="1" applyBorder="1" applyAlignment="1">
      <alignment horizontal="center" vertical="center" wrapText="1"/>
    </xf>
    <xf numFmtId="0" fontId="11" fillId="0" borderId="37" xfId="67" applyFont="1" applyBorder="1" applyAlignment="1">
      <alignment vertical="center"/>
    </xf>
    <xf numFmtId="3" fontId="40" fillId="0" borderId="37" xfId="67" applyNumberFormat="1" applyFont="1" applyBorder="1" applyAlignment="1">
      <alignment vertical="center"/>
    </xf>
    <xf numFmtId="0" fontId="11" fillId="0" borderId="1" xfId="67" applyFont="1" applyFill="1" applyBorder="1" applyAlignment="1">
      <alignment vertical="center"/>
    </xf>
    <xf numFmtId="3" fontId="45" fillId="0" borderId="1" xfId="67" applyNumberFormat="1" applyFont="1" applyFill="1" applyBorder="1" applyAlignment="1">
      <alignment horizontal="center" vertical="center"/>
    </xf>
    <xf numFmtId="0" fontId="45" fillId="0" borderId="1" xfId="67" applyFont="1" applyFill="1" applyBorder="1" applyAlignment="1">
      <alignment horizontal="center" vertical="center"/>
    </xf>
    <xf numFmtId="0" fontId="11" fillId="0" borderId="0" xfId="67" applyFont="1" applyFill="1" applyBorder="1" applyAlignment="1">
      <alignment vertical="center"/>
    </xf>
    <xf numFmtId="4" fontId="45" fillId="0" borderId="0" xfId="67" applyNumberFormat="1" applyFont="1" applyFill="1" applyBorder="1" applyAlignment="1">
      <alignment horizontal="center" vertical="center"/>
    </xf>
    <xf numFmtId="3" fontId="45" fillId="0" borderId="0" xfId="67" applyNumberFormat="1" applyFont="1" applyFill="1" applyBorder="1" applyAlignment="1">
      <alignment horizontal="center" vertical="center"/>
    </xf>
    <xf numFmtId="0" fontId="45" fillId="0" borderId="0" xfId="67" applyFont="1" applyFill="1" applyBorder="1" applyAlignment="1">
      <alignment horizontal="center" vertical="center"/>
    </xf>
    <xf numFmtId="0" fontId="45" fillId="0" borderId="0" xfId="62" applyFont="1"/>
    <xf numFmtId="10" fontId="40" fillId="0" borderId="37" xfId="67" applyNumberFormat="1" applyFont="1" applyBorder="1" applyAlignment="1">
      <alignment vertical="center"/>
    </xf>
    <xf numFmtId="9" fontId="40" fillId="0" borderId="37" xfId="67" applyNumberFormat="1" applyFont="1" applyBorder="1" applyAlignment="1">
      <alignment vertical="center"/>
    </xf>
    <xf numFmtId="0" fontId="11" fillId="0" borderId="39" xfId="67" applyFont="1" applyBorder="1" applyAlignment="1">
      <alignment vertical="center"/>
    </xf>
    <xf numFmtId="3" fontId="40" fillId="0" borderId="39" xfId="67" applyNumberFormat="1" applyFont="1" applyFill="1" applyBorder="1" applyAlignment="1">
      <alignment vertical="center"/>
    </xf>
    <xf numFmtId="10" fontId="40" fillId="0" borderId="39" xfId="67" applyNumberFormat="1" applyFont="1" applyBorder="1" applyAlignment="1">
      <alignment vertical="center"/>
    </xf>
    <xf numFmtId="0" fontId="11" fillId="0" borderId="0" xfId="67" applyFont="1" applyAlignment="1">
      <alignment vertical="top" wrapText="1"/>
    </xf>
    <xf numFmtId="178" fontId="11" fillId="0" borderId="0" xfId="67" applyNumberFormat="1" applyFont="1" applyAlignment="1">
      <alignment vertical="center"/>
    </xf>
    <xf numFmtId="10" fontId="40" fillId="0" borderId="37" xfId="67" applyNumberFormat="1" applyFont="1" applyFill="1" applyBorder="1" applyAlignment="1">
      <alignment vertical="center"/>
    </xf>
    <xf numFmtId="0" fontId="11" fillId="0" borderId="38" xfId="67" applyFont="1" applyBorder="1" applyAlignment="1">
      <alignment vertical="center"/>
    </xf>
    <xf numFmtId="10" fontId="40" fillId="0" borderId="38" xfId="67" applyNumberFormat="1" applyFont="1" applyBorder="1" applyAlignment="1">
      <alignment vertical="center"/>
    </xf>
    <xf numFmtId="0" fontId="11" fillId="0" borderId="28" xfId="67" applyFont="1" applyFill="1" applyBorder="1" applyAlignment="1">
      <alignment horizontal="left" vertical="center"/>
    </xf>
    <xf numFmtId="0" fontId="11" fillId="0" borderId="26" xfId="67" applyFont="1" applyFill="1" applyBorder="1" applyAlignment="1">
      <alignment vertical="center"/>
    </xf>
    <xf numFmtId="10" fontId="40" fillId="0" borderId="1" xfId="67" applyNumberFormat="1" applyFont="1" applyFill="1" applyBorder="1" applyAlignment="1">
      <alignment vertical="center"/>
    </xf>
    <xf numFmtId="0" fontId="45" fillId="0" borderId="0" xfId="62" applyFont="1" applyFill="1"/>
    <xf numFmtId="0" fontId="11" fillId="0" borderId="25" xfId="67" applyFont="1" applyFill="1" applyBorder="1" applyAlignment="1">
      <alignment vertical="center"/>
    </xf>
    <xf numFmtId="0" fontId="41" fillId="0" borderId="28" xfId="67" applyFont="1" applyBorder="1" applyAlignment="1">
      <alignment vertical="center"/>
    </xf>
    <xf numFmtId="3" fontId="40" fillId="0" borderId="1" xfId="67" applyNumberFormat="1" applyFont="1" applyBorder="1" applyAlignment="1">
      <alignment vertical="center"/>
    </xf>
    <xf numFmtId="3" fontId="40" fillId="0" borderId="24" xfId="67" applyNumberFormat="1" applyFont="1" applyBorder="1" applyAlignment="1">
      <alignment vertical="center"/>
    </xf>
    <xf numFmtId="3" fontId="11" fillId="0" borderId="0" xfId="67" applyNumberFormat="1" applyFont="1" applyBorder="1" applyAlignment="1">
      <alignment vertical="center"/>
    </xf>
    <xf numFmtId="1" fontId="11" fillId="0" borderId="27" xfId="67" applyNumberFormat="1" applyFont="1" applyBorder="1" applyAlignment="1">
      <alignment horizontal="center" vertical="center"/>
    </xf>
    <xf numFmtId="0" fontId="41" fillId="0" borderId="26" xfId="67" applyFont="1" applyBorder="1" applyAlignment="1">
      <alignment vertical="center"/>
    </xf>
    <xf numFmtId="3" fontId="41" fillId="0" borderId="1" xfId="67" applyNumberFormat="1" applyFont="1" applyBorder="1" applyAlignment="1">
      <alignment vertical="center"/>
    </xf>
    <xf numFmtId="0" fontId="11" fillId="0" borderId="26" xfId="67" applyFont="1" applyBorder="1" applyAlignment="1">
      <alignment vertical="center"/>
    </xf>
    <xf numFmtId="0" fontId="11" fillId="0" borderId="26" xfId="67" applyFont="1" applyFill="1" applyBorder="1" applyAlignment="1">
      <alignment horizontal="left" vertical="center"/>
    </xf>
    <xf numFmtId="0" fontId="41" fillId="0" borderId="26" xfId="67" applyFont="1" applyFill="1" applyBorder="1" applyAlignment="1">
      <alignment horizontal="left" vertical="center"/>
    </xf>
    <xf numFmtId="0" fontId="41" fillId="0" borderId="25" xfId="67" applyFont="1" applyFill="1" applyBorder="1" applyAlignment="1">
      <alignment horizontal="left" vertical="center"/>
    </xf>
    <xf numFmtId="0" fontId="68" fillId="0" borderId="0" xfId="67" applyFont="1" applyFill="1" applyBorder="1" applyAlignment="1">
      <alignment vertical="center"/>
    </xf>
    <xf numFmtId="167" fontId="69" fillId="0" borderId="0" xfId="67" applyNumberFormat="1" applyFont="1" applyFill="1" applyBorder="1" applyAlignment="1">
      <alignment horizontal="center" vertical="center"/>
    </xf>
    <xf numFmtId="0" fontId="70" fillId="0" borderId="0" xfId="62" applyFont="1" applyFill="1"/>
    <xf numFmtId="0" fontId="11" fillId="0" borderId="26" xfId="67" applyFont="1" applyBorder="1" applyAlignment="1">
      <alignment horizontal="left" vertical="center"/>
    </xf>
    <xf numFmtId="3" fontId="40" fillId="24" borderId="1" xfId="67" applyNumberFormat="1" applyFont="1" applyFill="1" applyBorder="1" applyAlignment="1">
      <alignment vertical="center"/>
    </xf>
    <xf numFmtId="3" fontId="71" fillId="0" borderId="1" xfId="67" applyNumberFormat="1" applyFont="1" applyFill="1" applyBorder="1" applyAlignment="1">
      <alignment vertical="center"/>
    </xf>
    <xf numFmtId="169" fontId="40" fillId="0" borderId="1" xfId="67" applyNumberFormat="1" applyFont="1" applyBorder="1" applyAlignment="1">
      <alignment horizontal="center" vertical="center"/>
    </xf>
    <xf numFmtId="0" fontId="41" fillId="0" borderId="26" xfId="67" applyFont="1" applyFill="1" applyBorder="1" applyAlignment="1">
      <alignment vertical="center"/>
    </xf>
    <xf numFmtId="0" fontId="41" fillId="0" borderId="25" xfId="67" applyFont="1" applyFill="1" applyBorder="1" applyAlignment="1">
      <alignment vertical="center"/>
    </xf>
    <xf numFmtId="1" fontId="11" fillId="24" borderId="0" xfId="67" applyNumberFormat="1" applyFont="1" applyFill="1" applyAlignment="1">
      <alignment vertical="center"/>
    </xf>
    <xf numFmtId="164" fontId="11" fillId="0" borderId="0" xfId="76" applyFont="1" applyAlignment="1">
      <alignment vertical="center"/>
    </xf>
    <xf numFmtId="172" fontId="11" fillId="0" borderId="0" xfId="67" applyNumberFormat="1" applyFont="1" applyAlignment="1">
      <alignment vertical="center"/>
    </xf>
    <xf numFmtId="1" fontId="11" fillId="0" borderId="0" xfId="67" applyNumberFormat="1" applyFont="1" applyAlignment="1">
      <alignment vertical="center"/>
    </xf>
    <xf numFmtId="0" fontId="11" fillId="0" borderId="0" xfId="67" applyFont="1" applyBorder="1" applyAlignment="1">
      <alignment vertical="center"/>
    </xf>
    <xf numFmtId="179" fontId="11" fillId="0" borderId="0" xfId="67" applyNumberFormat="1" applyFont="1" applyAlignment="1">
      <alignment vertical="center"/>
    </xf>
    <xf numFmtId="0" fontId="40" fillId="26" borderId="29" xfId="2" applyFont="1" applyFill="1" applyBorder="1" applyAlignment="1">
      <alignment horizontal="justify" vertical="top" wrapText="1"/>
    </xf>
    <xf numFmtId="2" fontId="40" fillId="26" borderId="29"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63" fillId="0" borderId="1" xfId="49" applyNumberFormat="1" applyFont="1" applyFill="1" applyBorder="1" applyAlignment="1">
      <alignment horizontal="center" vertical="center"/>
    </xf>
    <xf numFmtId="4" fontId="41" fillId="0" borderId="36" xfId="67" applyNumberFormat="1" applyFont="1" applyFill="1" applyBorder="1" applyAlignment="1">
      <alignment vertical="center"/>
    </xf>
    <xf numFmtId="0" fontId="40" fillId="0" borderId="34" xfId="2" applyFont="1" applyFill="1" applyBorder="1" applyAlignment="1">
      <alignment vertical="center" wrapText="1"/>
    </xf>
    <xf numFmtId="0" fontId="41" fillId="0" borderId="30" xfId="2"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64"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5" fillId="0" borderId="0" xfId="67" applyFont="1" applyFill="1" applyBorder="1" applyAlignment="1">
      <alignment horizontal="center" vertical="center"/>
    </xf>
    <xf numFmtId="0" fontId="11" fillId="0" borderId="0" xfId="62" applyFont="1" applyFill="1" applyBorder="1" applyAlignment="1">
      <alignment horizontal="left" vertical="center" wrapText="1"/>
    </xf>
    <xf numFmtId="0" fontId="11" fillId="0" borderId="0" xfId="67" applyFont="1" applyAlignment="1">
      <alignment horizontal="left" vertical="center" wrapText="1"/>
    </xf>
    <xf numFmtId="0" fontId="45" fillId="0" borderId="1" xfId="67" applyFont="1" applyFill="1" applyBorder="1" applyAlignment="1">
      <alignment horizontal="left"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5" builtinId="3"/>
    <cellStyle name="Финансовый 2" xfId="58"/>
    <cellStyle name="Финансовый 2 2" xfId="73"/>
    <cellStyle name="Финансовый 2 2 2 2 2" xfId="59"/>
    <cellStyle name="Финансовый 2 3" xfId="71"/>
    <cellStyle name="Финансовый 2 4" xfId="76"/>
    <cellStyle name="Финансовый 3" xfId="60"/>
    <cellStyle name="Хороший 2" xfId="61"/>
  </cellStyles>
  <dxfs count="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93" Type="http://schemas.openxmlformats.org/officeDocument/2006/relationships/externalLink" Target="externalLinks/externalLink81.xml"/><Relationship Id="rId98" Type="http://schemas.openxmlformats.org/officeDocument/2006/relationships/externalLink" Target="externalLinks/externalLink8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sz="1100"/>
              <a:t>Денежный поток на собственный капитал, руб.</a:t>
            </a:r>
          </a:p>
        </c:rich>
      </c:tx>
      <c:layout>
        <c:manualLayout>
          <c:xMode val="edge"/>
          <c:yMode val="edge"/>
          <c:x val="0.36193485016653598"/>
          <c:y val="4.9652596509661253E-3"/>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эфф'!$B$98</c:f>
              <c:strCache>
                <c:ptCount val="1"/>
                <c:pt idx="0">
                  <c:v>PV</c:v>
                </c:pt>
              </c:strCache>
            </c:strRef>
          </c:tx>
          <c:marker>
            <c:symbol val="none"/>
          </c:marker>
          <c:cat>
            <c:numRef>
              <c:f>'5. анализ эконом эфф'!$C$97:$V$97</c:f>
              <c:numCache>
                <c:formatCode>0</c:formatCode>
                <c:ptCount val="20"/>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numCache>
            </c:numRef>
          </c:cat>
          <c:val>
            <c:numRef>
              <c:f>'5. анализ эконом эфф'!$C$98:$V$98</c:f>
              <c:numCache>
                <c:formatCode>#,##0</c:formatCode>
                <c:ptCount val="20"/>
                <c:pt idx="0">
                  <c:v>7778.1498377949074</c:v>
                </c:pt>
                <c:pt idx="1">
                  <c:v>10792.908398418895</c:v>
                </c:pt>
                <c:pt idx="2">
                  <c:v>15038.856091055188</c:v>
                </c:pt>
                <c:pt idx="3">
                  <c:v>18160.505479115767</c:v>
                </c:pt>
                <c:pt idx="4">
                  <c:v>21341.037368088299</c:v>
                </c:pt>
                <c:pt idx="5">
                  <c:v>24583.043423212912</c:v>
                </c:pt>
                <c:pt idx="6">
                  <c:v>27887.770693494323</c:v>
                </c:pt>
                <c:pt idx="7">
                  <c:v>31256.394822063146</c:v>
                </c:pt>
                <c:pt idx="8">
                  <c:v>34690.014212588037</c:v>
                </c:pt>
                <c:pt idx="9">
                  <c:v>38189.643412767822</c:v>
                </c:pt>
                <c:pt idx="10">
                  <c:v>41757.921982988701</c:v>
                </c:pt>
                <c:pt idx="11">
                  <c:v>45397.595898052306</c:v>
                </c:pt>
                <c:pt idx="12">
                  <c:v>49111.520971752354</c:v>
                </c:pt>
                <c:pt idx="13">
                  <c:v>52902.667250434308</c:v>
                </c:pt>
                <c:pt idx="14">
                  <c:v>56774.123582297434</c:v>
                </c:pt>
                <c:pt idx="15">
                  <c:v>58945.675420316446</c:v>
                </c:pt>
                <c:pt idx="16">
                  <c:v>61204.090611856212</c:v>
                </c:pt>
                <c:pt idx="17">
                  <c:v>63552.843691057569</c:v>
                </c:pt>
                <c:pt idx="18">
                  <c:v>65995.548173426985</c:v>
                </c:pt>
                <c:pt idx="19">
                  <c:v>68535.96211509117</c:v>
                </c:pt>
              </c:numCache>
            </c:numRef>
          </c:val>
          <c:smooth val="0"/>
        </c:ser>
        <c:ser>
          <c:idx val="1"/>
          <c:order val="1"/>
          <c:tx>
            <c:strRef>
              <c:f>'5. анализ эконом эфф'!$B$99</c:f>
              <c:strCache>
                <c:ptCount val="1"/>
                <c:pt idx="0">
                  <c:v>NPV (без учета продажи)</c:v>
                </c:pt>
              </c:strCache>
            </c:strRef>
          </c:tx>
          <c:marker>
            <c:symbol val="none"/>
          </c:marker>
          <c:cat>
            <c:numRef>
              <c:f>'5. анализ эконом эфф'!$C$97:$V$97</c:f>
              <c:numCache>
                <c:formatCode>0</c:formatCode>
                <c:ptCount val="20"/>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numCache>
            </c:numRef>
          </c:cat>
          <c:val>
            <c:numRef>
              <c:f>'5. анализ эконом эфф'!$C$99:$V$99</c:f>
              <c:numCache>
                <c:formatCode>#,##0</c:formatCode>
                <c:ptCount val="20"/>
                <c:pt idx="0">
                  <c:v>7206.3166675817747</c:v>
                </c:pt>
                <c:pt idx="1">
                  <c:v>9603.8444530311317</c:v>
                </c:pt>
                <c:pt idx="2">
                  <c:v>12502.254498476155</c:v>
                </c:pt>
                <c:pt idx="3">
                  <c:v>14331.379493285714</c:v>
                </c:pt>
                <c:pt idx="4">
                  <c:v>15931.059401569995</c:v>
                </c:pt>
                <c:pt idx="5">
                  <c:v>17330.715150030144</c:v>
                </c:pt>
                <c:pt idx="6">
                  <c:v>18555.379594933747</c:v>
                </c:pt>
                <c:pt idx="7">
                  <c:v>19626.918921827932</c:v>
                </c:pt>
                <c:pt idx="8">
                  <c:v>20564.441611677001</c:v>
                </c:pt>
                <c:pt idx="9">
                  <c:v>21384.652897242104</c:v>
                </c:pt>
                <c:pt idx="10">
                  <c:v>22102.507576208343</c:v>
                </c:pt>
                <c:pt idx="11">
                  <c:v>22731.020676868484</c:v>
                </c:pt>
                <c:pt idx="12">
                  <c:v>23281.522891979464</c:v>
                </c:pt>
                <c:pt idx="13">
                  <c:v>23763.88207321044</c:v>
                </c:pt>
                <c:pt idx="14">
                  <c:v>24186.695185552253</c:v>
                </c:pt>
                <c:pt idx="15">
                  <c:v>24390.267332987649</c:v>
                </c:pt>
                <c:pt idx="16">
                  <c:v>24571.997078332221</c:v>
                </c:pt>
                <c:pt idx="17">
                  <c:v>24734.228012372703</c:v>
                </c:pt>
                <c:pt idx="18">
                  <c:v>24879.052269723001</c:v>
                </c:pt>
                <c:pt idx="19">
                  <c:v>25008.337508807614</c:v>
                </c:pt>
              </c:numCache>
            </c:numRef>
          </c:val>
          <c:smooth val="0"/>
        </c:ser>
        <c:dLbls>
          <c:showLegendKey val="0"/>
          <c:showVal val="0"/>
          <c:showCatName val="0"/>
          <c:showSerName val="0"/>
          <c:showPercent val="0"/>
          <c:showBubbleSize val="0"/>
        </c:dLbls>
        <c:smooth val="0"/>
        <c:axId val="719758280"/>
        <c:axId val="719758672"/>
      </c:lineChart>
      <c:catAx>
        <c:axId val="7197582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9758672"/>
        <c:crosses val="autoZero"/>
        <c:auto val="1"/>
        <c:lblAlgn val="ctr"/>
        <c:lblOffset val="100"/>
        <c:noMultiLvlLbl val="0"/>
      </c:catAx>
      <c:valAx>
        <c:axId val="71975867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9758280"/>
        <c:crosses val="autoZero"/>
        <c:crossBetween val="between"/>
      </c:valAx>
    </c:plotArea>
    <c:legend>
      <c:legendPos val="r"/>
      <c:legendEntry>
        <c:idx val="0"/>
        <c:txPr>
          <a:bodyPr/>
          <a:lstStyle/>
          <a:p>
            <a:pPr>
              <a:defRPr sz="1100" b="0" i="0" u="none" strike="noStrike" baseline="0">
                <a:solidFill>
                  <a:srgbClr val="000000"/>
                </a:solidFill>
                <a:latin typeface="Calibri"/>
                <a:ea typeface="Calibri"/>
                <a:cs typeface="Calibri"/>
              </a:defRPr>
            </a:pPr>
            <a:endParaRPr lang="ru-RU"/>
          </a:p>
        </c:txPr>
      </c:legendEntry>
      <c:legendEntry>
        <c:idx val="1"/>
        <c:txPr>
          <a:bodyPr/>
          <a:lstStyle/>
          <a:p>
            <a:pPr>
              <a:defRPr sz="1100" b="0" i="0" u="none" strike="noStrike" baseline="0">
                <a:solidFill>
                  <a:srgbClr val="000000"/>
                </a:solidFill>
                <a:latin typeface="Calibri"/>
                <a:ea typeface="Calibri"/>
                <a:cs typeface="Calibri"/>
              </a:defRPr>
            </a:pPr>
            <a:endParaRPr lang="ru-RU"/>
          </a:p>
        </c:txPr>
      </c:legendEntry>
      <c:layout>
        <c:manualLayout>
          <c:xMode val="edge"/>
          <c:yMode val="edge"/>
          <c:x val="0.12311775700568849"/>
          <c:y val="0.80341167857640117"/>
          <c:w val="0.87532914641322734"/>
          <c:h val="0.10195736256176363"/>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411956</xdr:colOff>
      <xdr:row>20</xdr:row>
      <xdr:rowOff>83344</xdr:rowOff>
    </xdr:from>
    <xdr:to>
      <xdr:col>14</xdr:col>
      <xdr:colOff>754856</xdr:colOff>
      <xdr:row>43</xdr:row>
      <xdr:rowOff>47626</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Users/Bazhenov-AV/AppData/Local/Microsoft/Windows/Temporary%20Internet%20Files/Content.Outlook/GSMSAV5I/&#1056;&#1072;&#1089;&#1095;&#1077;&#1090;%20&#1101;&#1082;&#1086;&#1085;&#1086;&#1084;&#1080;&#1095;&#1077;&#1089;&#1082;&#1086;&#1081;%20&#1101;&#1092;&#1092;&#1077;&#1082;&#1090;&#1080;&#1074;&#1085;&#1086;&#1089;&#1090;&#1080;%20&#1089;&#1076;&#1077;&#1083;&#1082;&#1080;%20&#1054;&#1054;&#1054;%20&#1058;&#1069;&#1062;-8%20(&#1085;&#1072;%2026.12.2018)%20(005).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D:\Users\norkevichene-ua\AppData\Local\Microsoft\Windows\Temporary%20Internet%20Files\Content.Outlook\PLOQHI4Z\&#1055;&#1088;&#1086;&#1077;&#1082;&#1090;%20&#1055;&#1050;&#1069;&#1057;&#1040;%20&#1085;&#1072;%202017-2019%20&#1075;&#1075;.%20-%20&#1087;&#1088;&#1080;&#1084;&#1077;&#1088;%20&#1088;&#1072;&#1089;&#1095;&#1077;&#1090;&#1072;%20&#1041;&#1072;&#1083;&#1082;&#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модель ТЭЦ-8"/>
      <sheetName val="расчет "/>
    </sheetNames>
    <sheetDataSet>
      <sheetData sheetId="0"/>
      <sheetData sheetId="1">
        <row r="16">
          <cell r="D16">
            <v>0</v>
          </cell>
        </row>
        <row r="17">
          <cell r="F17">
            <v>4.3999999999999997E-2</v>
          </cell>
          <cell r="G17">
            <v>4.2000000000000003E-2</v>
          </cell>
          <cell r="H17">
            <v>4.2999999999999997E-2</v>
          </cell>
          <cell r="I17">
            <v>4.3999999999999997E-2</v>
          </cell>
          <cell r="J17">
            <v>4.3999999999999997E-2</v>
          </cell>
          <cell r="K17">
            <v>4.2999999999999997E-2</v>
          </cell>
          <cell r="L17">
            <v>4.2000000000000003E-2</v>
          </cell>
          <cell r="M17">
            <v>4.1000000000000002E-2</v>
          </cell>
          <cell r="N17">
            <v>0.04</v>
          </cell>
          <cell r="O17">
            <v>0.04</v>
          </cell>
          <cell r="P17">
            <v>0.04</v>
          </cell>
          <cell r="Q17">
            <v>0.04</v>
          </cell>
          <cell r="R17">
            <v>0.04</v>
          </cell>
          <cell r="S17">
            <v>0.04</v>
          </cell>
          <cell r="T17">
            <v>0.04</v>
          </cell>
          <cell r="U17">
            <v>0.04</v>
          </cell>
          <cell r="V17">
            <v>0.04</v>
          </cell>
          <cell r="W17">
            <v>0.04</v>
          </cell>
          <cell r="X17">
            <v>0.04</v>
          </cell>
          <cell r="Y17">
            <v>0.04</v>
          </cell>
        </row>
        <row r="28">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row>
        <row r="29">
          <cell r="E29">
            <v>1783.4269491525424</v>
          </cell>
          <cell r="F29">
            <v>1783.4269491525424</v>
          </cell>
          <cell r="G29">
            <v>1783.4269491525424</v>
          </cell>
          <cell r="H29">
            <v>1783.4269491525424</v>
          </cell>
          <cell r="I29">
            <v>1783.4269491525424</v>
          </cell>
          <cell r="J29">
            <v>1783.4269491525424</v>
          </cell>
          <cell r="K29">
            <v>1783.4269491525424</v>
          </cell>
          <cell r="L29">
            <v>1783.4269491525424</v>
          </cell>
          <cell r="M29">
            <v>1783.4269491525424</v>
          </cell>
          <cell r="N29">
            <v>1783.4269491525424</v>
          </cell>
          <cell r="O29">
            <v>1783.4269491525424</v>
          </cell>
          <cell r="P29">
            <v>1783.4269491525424</v>
          </cell>
          <cell r="Q29">
            <v>1783.4269491525424</v>
          </cell>
          <cell r="R29">
            <v>1783.4269491525424</v>
          </cell>
          <cell r="S29">
            <v>1783.4269491525424</v>
          </cell>
          <cell r="Y29">
            <v>0</v>
          </cell>
        </row>
        <row r="30">
          <cell r="E30">
            <v>568.91319677966101</v>
          </cell>
          <cell r="F30">
            <v>529.67780389830511</v>
          </cell>
          <cell r="G30">
            <v>490.44241101694922</v>
          </cell>
          <cell r="H30">
            <v>451.20701813559333</v>
          </cell>
          <cell r="I30">
            <v>411.97162525423744</v>
          </cell>
          <cell r="J30">
            <v>372.73623237288155</v>
          </cell>
          <cell r="K30">
            <v>333.50083949152554</v>
          </cell>
          <cell r="L30">
            <v>294.26544661016965</v>
          </cell>
          <cell r="M30">
            <v>255.03005372881367</v>
          </cell>
          <cell r="N30">
            <v>215.79466084745778</v>
          </cell>
          <cell r="O30">
            <v>176.55926796610183</v>
          </cell>
          <cell r="P30">
            <v>137.32387508474588</v>
          </cell>
          <cell r="Q30">
            <v>98.08848220338993</v>
          </cell>
          <cell r="R30">
            <v>58.853089322034009</v>
          </cell>
          <cell r="S30">
            <v>19.617696440678021</v>
          </cell>
          <cell r="T30">
            <v>0</v>
          </cell>
          <cell r="U30">
            <v>0</v>
          </cell>
        </row>
        <row r="31">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row>
        <row r="32">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row>
        <row r="34">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row>
        <row r="35">
          <cell r="E35">
            <v>4260.9590405173149</v>
          </cell>
          <cell r="F35">
            <v>4305.7028789977039</v>
          </cell>
          <cell r="G35">
            <v>5824.4942648192464</v>
          </cell>
          <cell r="H35">
            <v>4400.2015661559353</v>
          </cell>
          <cell r="I35">
            <v>4456.2511476247628</v>
          </cell>
          <cell r="J35">
            <v>4516.4932679649974</v>
          </cell>
          <cell r="K35">
            <v>4578.7520688005443</v>
          </cell>
          <cell r="L35">
            <v>4642.9132956857602</v>
          </cell>
          <cell r="M35">
            <v>4708.8519597012491</v>
          </cell>
          <cell r="N35">
            <v>4776.432365092689</v>
          </cell>
          <cell r="O35">
            <v>4848.2854024150402</v>
          </cell>
          <cell r="P35">
            <v>4924.5819769455402</v>
          </cell>
          <cell r="Q35">
            <v>5005.4998301725136</v>
          </cell>
          <cell r="R35">
            <v>5091.2238132438215</v>
          </cell>
          <cell r="S35">
            <v>5181.9461713532355</v>
          </cell>
          <cell r="T35">
            <v>3514.0575867904163</v>
          </cell>
          <cell r="U35">
            <v>3654.6198902620331</v>
          </cell>
          <cell r="V35">
            <v>3800.8046858725147</v>
          </cell>
          <cell r="W35">
            <v>3952.8368733074153</v>
          </cell>
          <cell r="X35">
            <v>4110.9503482397122</v>
          </cell>
          <cell r="Y35">
            <v>4275.3883621693012</v>
          </cell>
        </row>
        <row r="40">
          <cell r="D40">
            <v>31566.656999999999</v>
          </cell>
        </row>
        <row r="45">
          <cell r="E45">
            <v>434.28123717198179</v>
          </cell>
          <cell r="F45">
            <v>453.389611607549</v>
          </cell>
          <cell r="G45">
            <v>472.43197529506608</v>
          </cell>
          <cell r="H45">
            <v>492.74655023275386</v>
          </cell>
          <cell r="I45">
            <v>514.42739844299501</v>
          </cell>
          <cell r="J45">
            <v>537.06220397448681</v>
          </cell>
          <cell r="K45">
            <v>560.15587874538971</v>
          </cell>
          <cell r="L45">
            <v>583.68242565269611</v>
          </cell>
          <cell r="M45">
            <v>607.61340510445666</v>
          </cell>
          <cell r="N45">
            <v>631.91794130863491</v>
          </cell>
          <cell r="O45">
            <v>657.19465896098029</v>
          </cell>
          <cell r="P45">
            <v>683.48244531941953</v>
          </cell>
          <cell r="Q45">
            <v>710.82174313219627</v>
          </cell>
          <cell r="R45">
            <v>739.25461285748418</v>
          </cell>
          <cell r="S45">
            <v>768.82479737178357</v>
          </cell>
          <cell r="T45">
            <v>799.57778926665492</v>
          </cell>
          <cell r="U45">
            <v>831.56090083732113</v>
          </cell>
          <cell r="V45">
            <v>864.82333687081405</v>
          </cell>
          <cell r="W45">
            <v>899.41627034564669</v>
          </cell>
          <cell r="X45">
            <v>935.39292115947262</v>
          </cell>
          <cell r="Y45">
            <v>972.80863800585155</v>
          </cell>
        </row>
      </sheetData>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_прогноз "/>
      <sheetName val="график_УПР"/>
      <sheetName val="график"/>
      <sheetName val="программа"/>
      <sheetName val="ремонт"/>
      <sheetName val="модель Балтийский комбинат"/>
      <sheetName val="модель Балтийский комбинат нов"/>
      <sheetName val="расчет Балко"/>
      <sheetName val="выручка"/>
      <sheetName val="Пояснительная записка"/>
      <sheetName val="модель ЕвроЦентрДом"/>
      <sheetName val="модель ЗСМК"/>
      <sheetName val="модель Лукойл"/>
      <sheetName val="модель Малиновка"/>
      <sheetName val="модель Гурьевский ГО"/>
      <sheetName val="модель Пионерский ГО"/>
      <sheetName val="модель Саранское С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1">
          <cell r="C31" t="str">
            <v>Отчисления на соцнужды</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1" sqref="C41"/>
    </sheetView>
  </sheetViews>
  <sheetFormatPr defaultColWidth="9.140625" defaultRowHeight="15" x14ac:dyDescent="0.25"/>
  <cols>
    <col min="1" max="1" width="6.140625" style="179" customWidth="1"/>
    <col min="2" max="2" width="53.5703125" style="179" customWidth="1"/>
    <col min="3" max="3" width="91.42578125" style="179" customWidth="1"/>
    <col min="4" max="4" width="12" style="179" customWidth="1"/>
    <col min="5" max="5" width="14.42578125" style="179" customWidth="1"/>
    <col min="6" max="6" width="36.5703125" style="179" customWidth="1"/>
    <col min="7" max="7" width="20" style="179" customWidth="1"/>
    <col min="8" max="8" width="25.5703125" style="179" customWidth="1"/>
    <col min="9" max="9" width="16.42578125" style="179" customWidth="1"/>
    <col min="10" max="16384" width="9.140625" style="179"/>
  </cols>
  <sheetData>
    <row r="1" spans="1:22" s="15" customFormat="1" ht="18.75" customHeight="1" x14ac:dyDescent="0.2">
      <c r="A1" s="160"/>
      <c r="C1" s="161" t="s">
        <v>66</v>
      </c>
    </row>
    <row r="2" spans="1:22" s="15" customFormat="1" ht="18.75" customHeight="1" x14ac:dyDescent="0.3">
      <c r="A2" s="160"/>
      <c r="C2" s="162" t="s">
        <v>8</v>
      </c>
    </row>
    <row r="3" spans="1:22" s="15" customFormat="1" ht="18.75" x14ac:dyDescent="0.3">
      <c r="A3" s="163"/>
      <c r="C3" s="162" t="s">
        <v>65</v>
      </c>
    </row>
    <row r="4" spans="1:22" s="15" customFormat="1" ht="18.75" x14ac:dyDescent="0.3">
      <c r="A4" s="163"/>
      <c r="H4" s="162"/>
    </row>
    <row r="5" spans="1:22" s="15" customFormat="1" ht="15.75" x14ac:dyDescent="0.25">
      <c r="A5" s="354" t="s">
        <v>573</v>
      </c>
      <c r="B5" s="354"/>
      <c r="C5" s="354"/>
      <c r="D5" s="149"/>
      <c r="E5" s="149"/>
      <c r="F5" s="149"/>
      <c r="G5" s="149"/>
      <c r="H5" s="149"/>
      <c r="I5" s="149"/>
      <c r="J5" s="149"/>
    </row>
    <row r="6" spans="1:22" s="15" customFormat="1" ht="18.75" x14ac:dyDescent="0.3">
      <c r="A6" s="163"/>
      <c r="H6" s="162"/>
    </row>
    <row r="7" spans="1:22" s="15" customFormat="1" ht="18.75" x14ac:dyDescent="0.2">
      <c r="A7" s="358" t="s">
        <v>7</v>
      </c>
      <c r="B7" s="358"/>
      <c r="C7" s="358"/>
      <c r="D7" s="164"/>
      <c r="E7" s="164"/>
      <c r="F7" s="164"/>
      <c r="G7" s="164"/>
      <c r="H7" s="164"/>
      <c r="I7" s="164"/>
      <c r="J7" s="164"/>
      <c r="K7" s="164"/>
      <c r="L7" s="164"/>
      <c r="M7" s="164"/>
      <c r="N7" s="164"/>
      <c r="O7" s="164"/>
      <c r="P7" s="164"/>
      <c r="Q7" s="164"/>
      <c r="R7" s="164"/>
      <c r="S7" s="164"/>
      <c r="T7" s="164"/>
      <c r="U7" s="164"/>
      <c r="V7" s="164"/>
    </row>
    <row r="8" spans="1:22" s="15" customFormat="1" ht="18.75" x14ac:dyDescent="0.2">
      <c r="A8" s="165"/>
      <c r="B8" s="165"/>
      <c r="C8" s="165"/>
      <c r="D8" s="165"/>
      <c r="E8" s="165"/>
      <c r="F8" s="165"/>
      <c r="G8" s="165"/>
      <c r="H8" s="165"/>
      <c r="I8" s="164"/>
      <c r="J8" s="164"/>
      <c r="K8" s="164"/>
      <c r="L8" s="164"/>
      <c r="M8" s="164"/>
      <c r="N8" s="164"/>
      <c r="O8" s="164"/>
      <c r="P8" s="164"/>
      <c r="Q8" s="164"/>
      <c r="R8" s="164"/>
      <c r="S8" s="164"/>
      <c r="T8" s="164"/>
      <c r="U8" s="164"/>
      <c r="V8" s="164"/>
    </row>
    <row r="9" spans="1:22" s="15" customFormat="1" ht="18.75" x14ac:dyDescent="0.2">
      <c r="A9" s="359" t="s">
        <v>514</v>
      </c>
      <c r="B9" s="359"/>
      <c r="C9" s="359"/>
      <c r="D9" s="166"/>
      <c r="E9" s="166"/>
      <c r="F9" s="166"/>
      <c r="G9" s="166"/>
      <c r="H9" s="166"/>
      <c r="I9" s="164"/>
      <c r="J9" s="164"/>
      <c r="K9" s="164"/>
      <c r="L9" s="164"/>
      <c r="M9" s="164"/>
      <c r="N9" s="164"/>
      <c r="O9" s="164"/>
      <c r="P9" s="164"/>
      <c r="Q9" s="164"/>
      <c r="R9" s="164"/>
      <c r="S9" s="164"/>
      <c r="T9" s="164"/>
      <c r="U9" s="164"/>
      <c r="V9" s="164"/>
    </row>
    <row r="10" spans="1:22" s="15" customFormat="1" ht="18.75" x14ac:dyDescent="0.2">
      <c r="A10" s="355" t="s">
        <v>6</v>
      </c>
      <c r="B10" s="355"/>
      <c r="C10" s="355"/>
      <c r="D10" s="167"/>
      <c r="E10" s="167"/>
      <c r="F10" s="167"/>
      <c r="G10" s="167"/>
      <c r="H10" s="167"/>
      <c r="I10" s="164"/>
      <c r="J10" s="164"/>
      <c r="K10" s="164"/>
      <c r="L10" s="164"/>
      <c r="M10" s="164"/>
      <c r="N10" s="164"/>
      <c r="O10" s="164"/>
      <c r="P10" s="164"/>
      <c r="Q10" s="164"/>
      <c r="R10" s="164"/>
      <c r="S10" s="164"/>
      <c r="T10" s="164"/>
      <c r="U10" s="164"/>
      <c r="V10" s="164"/>
    </row>
    <row r="11" spans="1:22" s="15" customFormat="1" ht="18.75" x14ac:dyDescent="0.2">
      <c r="A11" s="165"/>
      <c r="B11" s="165"/>
      <c r="C11" s="165"/>
      <c r="D11" s="165"/>
      <c r="E11" s="165"/>
      <c r="F11" s="165"/>
      <c r="G11" s="165"/>
      <c r="H11" s="165"/>
      <c r="I11" s="164"/>
      <c r="J11" s="164"/>
      <c r="K11" s="164"/>
      <c r="L11" s="164"/>
      <c r="M11" s="164"/>
      <c r="N11" s="164"/>
      <c r="O11" s="164"/>
      <c r="P11" s="164"/>
      <c r="Q11" s="164"/>
      <c r="R11" s="164"/>
      <c r="S11" s="164"/>
      <c r="T11" s="164"/>
      <c r="U11" s="164"/>
      <c r="V11" s="164"/>
    </row>
    <row r="12" spans="1:22" s="15" customFormat="1" ht="18.75" x14ac:dyDescent="0.2">
      <c r="A12" s="360" t="s">
        <v>583</v>
      </c>
      <c r="B12" s="360"/>
      <c r="C12" s="360"/>
      <c r="D12" s="166"/>
      <c r="E12" s="168"/>
      <c r="F12" s="166"/>
      <c r="G12" s="166"/>
      <c r="H12" s="166"/>
      <c r="I12" s="164"/>
      <c r="J12" s="164"/>
      <c r="K12" s="164"/>
      <c r="L12" s="164"/>
      <c r="M12" s="164"/>
      <c r="N12" s="164"/>
      <c r="O12" s="164"/>
      <c r="P12" s="164"/>
      <c r="Q12" s="164"/>
      <c r="R12" s="164"/>
      <c r="S12" s="164"/>
      <c r="T12" s="164"/>
      <c r="U12" s="164"/>
      <c r="V12" s="164"/>
    </row>
    <row r="13" spans="1:22" s="15" customFormat="1" ht="18.75" x14ac:dyDescent="0.2">
      <c r="A13" s="355" t="s">
        <v>5</v>
      </c>
      <c r="B13" s="355"/>
      <c r="C13" s="355"/>
      <c r="D13" s="167"/>
      <c r="E13" s="167"/>
      <c r="F13" s="167"/>
      <c r="G13" s="167"/>
      <c r="H13" s="167"/>
      <c r="I13" s="164"/>
      <c r="J13" s="164"/>
      <c r="K13" s="164"/>
      <c r="L13" s="164"/>
      <c r="M13" s="164"/>
      <c r="N13" s="164"/>
      <c r="O13" s="164"/>
      <c r="P13" s="164"/>
      <c r="Q13" s="164"/>
      <c r="R13" s="164"/>
      <c r="S13" s="164"/>
      <c r="T13" s="164"/>
      <c r="U13" s="164"/>
      <c r="V13" s="164"/>
    </row>
    <row r="14" spans="1:22" s="169"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70" customFormat="1" ht="53.45" customHeight="1" x14ac:dyDescent="0.25">
      <c r="A15" s="361" t="s">
        <v>584</v>
      </c>
      <c r="B15" s="361"/>
      <c r="C15" s="361"/>
      <c r="D15" s="188"/>
      <c r="E15" s="166"/>
      <c r="F15" s="166"/>
      <c r="G15" s="166"/>
      <c r="H15" s="166"/>
      <c r="I15" s="166"/>
      <c r="J15" s="166"/>
      <c r="K15" s="166"/>
      <c r="L15" s="166"/>
      <c r="M15" s="166"/>
      <c r="N15" s="166"/>
      <c r="O15" s="166"/>
      <c r="P15" s="166"/>
      <c r="Q15" s="166"/>
      <c r="R15" s="166"/>
      <c r="S15" s="166"/>
      <c r="T15" s="166"/>
      <c r="U15" s="166"/>
      <c r="V15" s="166"/>
    </row>
    <row r="16" spans="1:22" s="170" customFormat="1" ht="15" customHeight="1" x14ac:dyDescent="0.2">
      <c r="A16" s="355" t="s">
        <v>4</v>
      </c>
      <c r="B16" s="355"/>
      <c r="C16" s="355"/>
      <c r="D16" s="167"/>
      <c r="E16" s="167"/>
      <c r="F16" s="167"/>
      <c r="G16" s="167"/>
      <c r="H16" s="167"/>
      <c r="I16" s="167"/>
      <c r="J16" s="167"/>
      <c r="K16" s="167"/>
      <c r="L16" s="167"/>
      <c r="M16" s="167"/>
      <c r="N16" s="167"/>
      <c r="O16" s="167"/>
      <c r="P16" s="167"/>
      <c r="Q16" s="167"/>
      <c r="R16" s="167"/>
      <c r="S16" s="167"/>
      <c r="T16" s="167"/>
      <c r="U16" s="167"/>
      <c r="V16" s="167"/>
    </row>
    <row r="17" spans="1:22" s="170" customFormat="1" ht="15" customHeight="1" x14ac:dyDescent="0.2">
      <c r="A17" s="171"/>
      <c r="B17" s="171"/>
      <c r="C17" s="171"/>
      <c r="D17" s="171"/>
      <c r="E17" s="171"/>
      <c r="F17" s="171"/>
      <c r="G17" s="171"/>
      <c r="H17" s="171"/>
      <c r="I17" s="171"/>
      <c r="J17" s="171"/>
      <c r="K17" s="171"/>
      <c r="L17" s="171"/>
      <c r="M17" s="171"/>
      <c r="N17" s="171"/>
      <c r="O17" s="171"/>
      <c r="P17" s="171"/>
      <c r="Q17" s="171"/>
      <c r="R17" s="171"/>
      <c r="S17" s="171"/>
    </row>
    <row r="18" spans="1:22" s="170" customFormat="1" ht="15" customHeight="1" x14ac:dyDescent="0.2">
      <c r="A18" s="356" t="s">
        <v>488</v>
      </c>
      <c r="B18" s="357"/>
      <c r="C18" s="357"/>
      <c r="D18" s="172"/>
      <c r="E18" s="172"/>
      <c r="F18" s="172"/>
      <c r="G18" s="172"/>
      <c r="H18" s="172"/>
      <c r="I18" s="172"/>
      <c r="J18" s="172"/>
      <c r="K18" s="172"/>
      <c r="L18" s="172"/>
      <c r="M18" s="172"/>
      <c r="N18" s="172"/>
      <c r="O18" s="172"/>
      <c r="P18" s="172"/>
      <c r="Q18" s="172"/>
      <c r="R18" s="172"/>
      <c r="S18" s="172"/>
      <c r="T18" s="172"/>
      <c r="U18" s="172"/>
      <c r="V18" s="172"/>
    </row>
    <row r="19" spans="1:22" s="170" customFormat="1" ht="15" customHeight="1" x14ac:dyDescent="0.2">
      <c r="A19" s="167"/>
      <c r="B19" s="167"/>
      <c r="C19" s="167"/>
      <c r="D19" s="167"/>
      <c r="E19" s="167"/>
      <c r="F19" s="167"/>
      <c r="G19" s="167"/>
      <c r="H19" s="167"/>
      <c r="I19" s="171"/>
      <c r="J19" s="171"/>
      <c r="K19" s="171"/>
      <c r="L19" s="171"/>
      <c r="M19" s="171"/>
      <c r="N19" s="171"/>
      <c r="O19" s="171"/>
      <c r="P19" s="171"/>
      <c r="Q19" s="171"/>
      <c r="R19" s="171"/>
      <c r="S19" s="171"/>
    </row>
    <row r="20" spans="1:22" s="170" customFormat="1" ht="39.75" customHeight="1" x14ac:dyDescent="0.2">
      <c r="A20" s="34" t="s">
        <v>3</v>
      </c>
      <c r="B20" s="173" t="s">
        <v>64</v>
      </c>
      <c r="C20" s="174" t="s">
        <v>63</v>
      </c>
      <c r="D20" s="175"/>
      <c r="E20" s="175"/>
      <c r="F20" s="175"/>
      <c r="G20" s="175"/>
      <c r="H20" s="175"/>
      <c r="I20" s="159"/>
      <c r="J20" s="159"/>
      <c r="K20" s="159"/>
      <c r="L20" s="159"/>
      <c r="M20" s="159"/>
      <c r="N20" s="159"/>
      <c r="O20" s="159"/>
      <c r="P20" s="159"/>
      <c r="Q20" s="159"/>
      <c r="R20" s="159"/>
      <c r="S20" s="159"/>
      <c r="T20" s="176"/>
      <c r="U20" s="176"/>
      <c r="V20" s="176"/>
    </row>
    <row r="21" spans="1:22" s="170" customFormat="1" ht="16.5" customHeight="1" x14ac:dyDescent="0.2">
      <c r="A21" s="174">
        <v>1</v>
      </c>
      <c r="B21" s="173">
        <v>2</v>
      </c>
      <c r="C21" s="174">
        <v>3</v>
      </c>
      <c r="D21" s="175"/>
      <c r="E21" s="175"/>
      <c r="F21" s="175"/>
      <c r="G21" s="175"/>
      <c r="H21" s="175"/>
      <c r="I21" s="159"/>
      <c r="J21" s="159"/>
      <c r="K21" s="159"/>
      <c r="L21" s="159"/>
      <c r="M21" s="159"/>
      <c r="N21" s="159"/>
      <c r="O21" s="159"/>
      <c r="P21" s="159"/>
      <c r="Q21" s="159"/>
      <c r="R21" s="159"/>
      <c r="S21" s="159"/>
      <c r="T21" s="176"/>
      <c r="U21" s="176"/>
      <c r="V21" s="176"/>
    </row>
    <row r="22" spans="1:22" s="170" customFormat="1" ht="39" customHeight="1" x14ac:dyDescent="0.2">
      <c r="A22" s="27" t="s">
        <v>62</v>
      </c>
      <c r="B22" s="177" t="s">
        <v>326</v>
      </c>
      <c r="C22" s="246" t="s">
        <v>576</v>
      </c>
      <c r="D22" s="175"/>
      <c r="E22" s="175"/>
      <c r="F22" s="175"/>
      <c r="G22" s="175"/>
      <c r="H22" s="175"/>
      <c r="I22" s="159"/>
      <c r="J22" s="159"/>
      <c r="K22" s="159"/>
      <c r="L22" s="159"/>
      <c r="M22" s="159"/>
      <c r="N22" s="159"/>
      <c r="O22" s="159"/>
      <c r="P22" s="159"/>
      <c r="Q22" s="159"/>
      <c r="R22" s="159"/>
      <c r="S22" s="159"/>
      <c r="T22" s="176"/>
      <c r="U22" s="176"/>
      <c r="V22" s="176"/>
    </row>
    <row r="23" spans="1:22" s="170" customFormat="1" ht="94.9" customHeight="1" x14ac:dyDescent="0.2">
      <c r="A23" s="27" t="s">
        <v>61</v>
      </c>
      <c r="B23" s="35" t="s">
        <v>525</v>
      </c>
      <c r="C23" s="247" t="s">
        <v>572</v>
      </c>
      <c r="D23" s="175"/>
      <c r="E23" s="175"/>
      <c r="F23" s="175"/>
      <c r="G23" s="175"/>
      <c r="H23" s="175"/>
      <c r="I23" s="159"/>
      <c r="J23" s="159"/>
      <c r="K23" s="159"/>
      <c r="L23" s="159"/>
      <c r="M23" s="159"/>
      <c r="N23" s="159"/>
      <c r="O23" s="159"/>
      <c r="P23" s="159"/>
      <c r="Q23" s="159"/>
      <c r="R23" s="159"/>
      <c r="S23" s="159"/>
      <c r="T23" s="176"/>
      <c r="U23" s="176"/>
      <c r="V23" s="176"/>
    </row>
    <row r="24" spans="1:22" s="170" customFormat="1" ht="22.5" customHeight="1" x14ac:dyDescent="0.2">
      <c r="A24" s="351"/>
      <c r="B24" s="352"/>
      <c r="C24" s="353"/>
      <c r="D24" s="175"/>
      <c r="E24" s="175"/>
      <c r="F24" s="175"/>
      <c r="G24" s="175"/>
      <c r="H24" s="175"/>
      <c r="I24" s="159"/>
      <c r="J24" s="159"/>
      <c r="K24" s="159"/>
      <c r="L24" s="159"/>
      <c r="M24" s="159"/>
      <c r="N24" s="159"/>
      <c r="O24" s="159"/>
      <c r="P24" s="159"/>
      <c r="Q24" s="159"/>
      <c r="R24" s="159"/>
      <c r="S24" s="159"/>
      <c r="T24" s="176"/>
      <c r="U24" s="176"/>
      <c r="V24" s="176"/>
    </row>
    <row r="25" spans="1:22" s="170" customFormat="1" ht="58.5" customHeight="1" x14ac:dyDescent="0.2">
      <c r="A25" s="27" t="s">
        <v>60</v>
      </c>
      <c r="B25" s="146" t="s">
        <v>437</v>
      </c>
      <c r="C25" s="248" t="s">
        <v>515</v>
      </c>
      <c r="D25" s="175"/>
      <c r="E25" s="175"/>
      <c r="F25" s="175"/>
      <c r="G25" s="175"/>
      <c r="H25" s="159"/>
      <c r="I25" s="159"/>
      <c r="J25" s="159"/>
      <c r="K25" s="159"/>
      <c r="L25" s="159"/>
      <c r="M25" s="159"/>
      <c r="N25" s="159"/>
      <c r="O25" s="159"/>
      <c r="P25" s="159"/>
      <c r="Q25" s="159"/>
      <c r="R25" s="159"/>
      <c r="S25" s="176"/>
      <c r="T25" s="176"/>
      <c r="U25" s="176"/>
      <c r="V25" s="176"/>
    </row>
    <row r="26" spans="1:22" s="170" customFormat="1" ht="42.75" customHeight="1" x14ac:dyDescent="0.2">
      <c r="A26" s="27" t="s">
        <v>59</v>
      </c>
      <c r="B26" s="146" t="s">
        <v>72</v>
      </c>
      <c r="C26" s="34" t="s">
        <v>505</v>
      </c>
      <c r="D26" s="175"/>
      <c r="E26" s="175"/>
      <c r="F26" s="175"/>
      <c r="G26" s="175"/>
      <c r="H26" s="159"/>
      <c r="I26" s="159"/>
      <c r="J26" s="159"/>
      <c r="K26" s="159"/>
      <c r="L26" s="159"/>
      <c r="M26" s="159"/>
      <c r="N26" s="159"/>
      <c r="O26" s="159"/>
      <c r="P26" s="159"/>
      <c r="Q26" s="159"/>
      <c r="R26" s="159"/>
      <c r="S26" s="176"/>
      <c r="T26" s="176"/>
      <c r="U26" s="176"/>
      <c r="V26" s="176"/>
    </row>
    <row r="27" spans="1:22" s="170" customFormat="1" ht="51.75" customHeight="1" x14ac:dyDescent="0.2">
      <c r="A27" s="27" t="s">
        <v>57</v>
      </c>
      <c r="B27" s="146" t="s">
        <v>71</v>
      </c>
      <c r="C27" s="191" t="s">
        <v>580</v>
      </c>
      <c r="D27" s="175"/>
      <c r="E27" s="175"/>
      <c r="F27" s="175"/>
      <c r="G27" s="175"/>
      <c r="H27" s="159"/>
      <c r="I27" s="159"/>
      <c r="J27" s="159"/>
      <c r="K27" s="159"/>
      <c r="L27" s="159"/>
      <c r="M27" s="159"/>
      <c r="N27" s="159"/>
      <c r="O27" s="159"/>
      <c r="P27" s="159"/>
      <c r="Q27" s="159"/>
      <c r="R27" s="159"/>
      <c r="S27" s="176"/>
      <c r="T27" s="176"/>
      <c r="U27" s="176"/>
      <c r="V27" s="176"/>
    </row>
    <row r="28" spans="1:22" s="170" customFormat="1" ht="42.75" customHeight="1" x14ac:dyDescent="0.2">
      <c r="A28" s="27" t="s">
        <v>56</v>
      </c>
      <c r="B28" s="146" t="s">
        <v>438</v>
      </c>
      <c r="C28" s="191" t="s">
        <v>507</v>
      </c>
      <c r="D28" s="175"/>
      <c r="E28" s="175"/>
      <c r="F28" s="175"/>
      <c r="G28" s="175"/>
      <c r="H28" s="159"/>
      <c r="I28" s="159"/>
      <c r="J28" s="159"/>
      <c r="K28" s="159"/>
      <c r="L28" s="159"/>
      <c r="M28" s="159"/>
      <c r="N28" s="159"/>
      <c r="O28" s="159"/>
      <c r="P28" s="159"/>
      <c r="Q28" s="159"/>
      <c r="R28" s="159"/>
      <c r="S28" s="176"/>
      <c r="T28" s="176"/>
      <c r="U28" s="176"/>
      <c r="V28" s="176"/>
    </row>
    <row r="29" spans="1:22" s="170" customFormat="1" ht="51.75" customHeight="1" x14ac:dyDescent="0.2">
      <c r="A29" s="27" t="s">
        <v>54</v>
      </c>
      <c r="B29" s="146" t="s">
        <v>439</v>
      </c>
      <c r="C29" s="191" t="s">
        <v>507</v>
      </c>
      <c r="D29" s="175"/>
      <c r="E29" s="175"/>
      <c r="F29" s="175"/>
      <c r="G29" s="175"/>
      <c r="H29" s="159"/>
      <c r="I29" s="159"/>
      <c r="J29" s="159"/>
      <c r="K29" s="159"/>
      <c r="L29" s="159"/>
      <c r="M29" s="159"/>
      <c r="N29" s="159"/>
      <c r="O29" s="159"/>
      <c r="P29" s="159"/>
      <c r="Q29" s="159"/>
      <c r="R29" s="159"/>
      <c r="S29" s="176"/>
      <c r="T29" s="176"/>
      <c r="U29" s="176"/>
      <c r="V29" s="176"/>
    </row>
    <row r="30" spans="1:22" s="170" customFormat="1" ht="51.75" customHeight="1" x14ac:dyDescent="0.2">
      <c r="A30" s="27" t="s">
        <v>52</v>
      </c>
      <c r="B30" s="146" t="s">
        <v>440</v>
      </c>
      <c r="C30" s="191" t="s">
        <v>507</v>
      </c>
      <c r="D30" s="175"/>
      <c r="E30" s="175"/>
      <c r="F30" s="175"/>
      <c r="G30" s="175"/>
      <c r="H30" s="159"/>
      <c r="I30" s="159"/>
      <c r="J30" s="159"/>
      <c r="K30" s="159"/>
      <c r="L30" s="159"/>
      <c r="M30" s="159"/>
      <c r="N30" s="159"/>
      <c r="O30" s="159"/>
      <c r="P30" s="159"/>
      <c r="Q30" s="159"/>
      <c r="R30" s="159"/>
      <c r="S30" s="176"/>
      <c r="T30" s="176"/>
      <c r="U30" s="176"/>
      <c r="V30" s="176"/>
    </row>
    <row r="31" spans="1:22" s="170" customFormat="1" ht="51.75" customHeight="1" x14ac:dyDescent="0.2">
      <c r="A31" s="27" t="s">
        <v>70</v>
      </c>
      <c r="B31" s="146" t="s">
        <v>441</v>
      </c>
      <c r="C31" s="248" t="s">
        <v>534</v>
      </c>
      <c r="D31" s="175"/>
      <c r="E31" s="175"/>
      <c r="F31" s="175"/>
      <c r="G31" s="175"/>
      <c r="H31" s="159"/>
      <c r="I31" s="159"/>
      <c r="J31" s="159"/>
      <c r="K31" s="159"/>
      <c r="L31" s="159"/>
      <c r="M31" s="159"/>
      <c r="N31" s="159"/>
      <c r="O31" s="159"/>
      <c r="P31" s="159"/>
      <c r="Q31" s="159"/>
      <c r="R31" s="159"/>
      <c r="S31" s="176"/>
      <c r="T31" s="176"/>
      <c r="U31" s="176"/>
      <c r="V31" s="176"/>
    </row>
    <row r="32" spans="1:22" s="170" customFormat="1" ht="51.75" customHeight="1" x14ac:dyDescent="0.2">
      <c r="A32" s="27" t="s">
        <v>68</v>
      </c>
      <c r="B32" s="146" t="s">
        <v>442</v>
      </c>
      <c r="C32" s="248" t="s">
        <v>507</v>
      </c>
      <c r="D32" s="175"/>
      <c r="E32" s="175"/>
      <c r="F32" s="175"/>
      <c r="G32" s="175"/>
      <c r="H32" s="159"/>
      <c r="I32" s="159"/>
      <c r="J32" s="159"/>
      <c r="K32" s="159"/>
      <c r="L32" s="159"/>
      <c r="M32" s="159"/>
      <c r="N32" s="159"/>
      <c r="O32" s="159"/>
      <c r="P32" s="159"/>
      <c r="Q32" s="159"/>
      <c r="R32" s="159"/>
      <c r="S32" s="176"/>
      <c r="T32" s="176"/>
      <c r="U32" s="176"/>
      <c r="V32" s="176"/>
    </row>
    <row r="33" spans="1:22" s="170" customFormat="1" ht="101.25" customHeight="1" x14ac:dyDescent="0.2">
      <c r="A33" s="27" t="s">
        <v>67</v>
      </c>
      <c r="B33" s="146" t="s">
        <v>443</v>
      </c>
      <c r="C33" s="146" t="s">
        <v>531</v>
      </c>
      <c r="D33" s="175"/>
      <c r="E33" s="175"/>
      <c r="F33" s="175"/>
      <c r="G33" s="175"/>
      <c r="H33" s="159"/>
      <c r="I33" s="159"/>
      <c r="J33" s="159"/>
      <c r="K33" s="159"/>
      <c r="L33" s="159"/>
      <c r="M33" s="159"/>
      <c r="N33" s="159"/>
      <c r="O33" s="159"/>
      <c r="P33" s="159"/>
      <c r="Q33" s="159"/>
      <c r="R33" s="159"/>
      <c r="S33" s="176"/>
      <c r="T33" s="176"/>
      <c r="U33" s="176"/>
      <c r="V33" s="176"/>
    </row>
    <row r="34" spans="1:22" ht="111" customHeight="1" x14ac:dyDescent="0.25">
      <c r="A34" s="27" t="s">
        <v>457</v>
      </c>
      <c r="B34" s="146" t="s">
        <v>444</v>
      </c>
      <c r="C34" s="191" t="s">
        <v>507</v>
      </c>
      <c r="D34" s="178"/>
      <c r="E34" s="178"/>
      <c r="F34" s="178"/>
      <c r="G34" s="178"/>
      <c r="H34" s="178"/>
      <c r="I34" s="178"/>
      <c r="J34" s="178"/>
      <c r="K34" s="178"/>
      <c r="L34" s="178"/>
      <c r="M34" s="178"/>
      <c r="N34" s="178"/>
      <c r="O34" s="178"/>
      <c r="P34" s="178"/>
      <c r="Q34" s="178"/>
      <c r="R34" s="178"/>
      <c r="S34" s="178"/>
      <c r="T34" s="178"/>
      <c r="U34" s="178"/>
      <c r="V34" s="178"/>
    </row>
    <row r="35" spans="1:22" ht="58.5" customHeight="1" x14ac:dyDescent="0.25">
      <c r="A35" s="27" t="s">
        <v>447</v>
      </c>
      <c r="B35" s="146" t="s">
        <v>69</v>
      </c>
      <c r="C35" s="191" t="s">
        <v>507</v>
      </c>
      <c r="D35" s="178"/>
      <c r="E35" s="178"/>
      <c r="F35" s="178"/>
      <c r="G35" s="178"/>
      <c r="H35" s="178"/>
      <c r="I35" s="178"/>
      <c r="J35" s="178"/>
      <c r="K35" s="178"/>
      <c r="L35" s="178"/>
      <c r="M35" s="178"/>
      <c r="N35" s="178"/>
      <c r="O35" s="178"/>
      <c r="P35" s="178"/>
      <c r="Q35" s="178"/>
      <c r="R35" s="178"/>
      <c r="S35" s="178"/>
      <c r="T35" s="178"/>
      <c r="U35" s="178"/>
      <c r="V35" s="178"/>
    </row>
    <row r="36" spans="1:22" ht="51.75" customHeight="1" x14ac:dyDescent="0.25">
      <c r="A36" s="27" t="s">
        <v>458</v>
      </c>
      <c r="B36" s="146" t="s">
        <v>445</v>
      </c>
      <c r="C36" s="191" t="s">
        <v>507</v>
      </c>
      <c r="D36" s="178"/>
      <c r="E36" s="178"/>
      <c r="F36" s="178"/>
      <c r="G36" s="178"/>
      <c r="H36" s="178"/>
      <c r="I36" s="178"/>
      <c r="J36" s="178"/>
      <c r="K36" s="178"/>
      <c r="L36" s="178"/>
      <c r="M36" s="178"/>
      <c r="N36" s="178"/>
      <c r="O36" s="178"/>
      <c r="P36" s="178"/>
      <c r="Q36" s="178"/>
      <c r="R36" s="178"/>
      <c r="S36" s="178"/>
      <c r="T36" s="178"/>
      <c r="U36" s="178"/>
      <c r="V36" s="178"/>
    </row>
    <row r="37" spans="1:22" ht="43.5" customHeight="1" x14ac:dyDescent="0.25">
      <c r="A37" s="27" t="s">
        <v>448</v>
      </c>
      <c r="B37" s="146" t="s">
        <v>446</v>
      </c>
      <c r="C37" s="191" t="s">
        <v>507</v>
      </c>
      <c r="D37" s="178"/>
      <c r="E37" s="178"/>
      <c r="F37" s="178"/>
      <c r="G37" s="178"/>
      <c r="H37" s="178"/>
      <c r="I37" s="178"/>
      <c r="J37" s="178"/>
      <c r="K37" s="178"/>
      <c r="L37" s="178"/>
      <c r="M37" s="178"/>
      <c r="N37" s="178"/>
      <c r="O37" s="178"/>
      <c r="P37" s="178"/>
      <c r="Q37" s="178"/>
      <c r="R37" s="178"/>
      <c r="S37" s="178"/>
      <c r="T37" s="178"/>
      <c r="U37" s="178"/>
      <c r="V37" s="178"/>
    </row>
    <row r="38" spans="1:22" ht="43.5" customHeight="1" x14ac:dyDescent="0.25">
      <c r="A38" s="27" t="s">
        <v>459</v>
      </c>
      <c r="B38" s="146" t="s">
        <v>226</v>
      </c>
      <c r="C38" s="191" t="s">
        <v>507</v>
      </c>
      <c r="D38" s="178"/>
      <c r="E38" s="178"/>
      <c r="F38" s="178"/>
      <c r="G38" s="178"/>
      <c r="H38" s="178"/>
      <c r="I38" s="178"/>
      <c r="J38" s="178"/>
      <c r="K38" s="178"/>
      <c r="L38" s="178"/>
      <c r="M38" s="178"/>
      <c r="N38" s="178"/>
      <c r="O38" s="178"/>
      <c r="P38" s="178"/>
      <c r="Q38" s="178"/>
      <c r="R38" s="178"/>
      <c r="S38" s="178"/>
      <c r="T38" s="178"/>
      <c r="U38" s="178"/>
      <c r="V38" s="178"/>
    </row>
    <row r="39" spans="1:22" ht="23.25" customHeight="1" x14ac:dyDescent="0.25">
      <c r="A39" s="351"/>
      <c r="B39" s="352"/>
      <c r="C39" s="353"/>
      <c r="D39" s="178"/>
      <c r="E39" s="178"/>
      <c r="F39" s="178"/>
      <c r="G39" s="178"/>
      <c r="H39" s="178"/>
      <c r="I39" s="178"/>
      <c r="J39" s="178"/>
      <c r="K39" s="178"/>
      <c r="L39" s="178"/>
      <c r="M39" s="178"/>
      <c r="N39" s="178"/>
      <c r="O39" s="178"/>
      <c r="P39" s="178"/>
      <c r="Q39" s="178"/>
      <c r="R39" s="178"/>
      <c r="S39" s="178"/>
      <c r="T39" s="178"/>
      <c r="U39" s="178"/>
      <c r="V39" s="178"/>
    </row>
    <row r="40" spans="1:22" ht="63" x14ac:dyDescent="0.35">
      <c r="A40" s="27" t="s">
        <v>449</v>
      </c>
      <c r="B40" s="146" t="s">
        <v>500</v>
      </c>
      <c r="C40" s="256" t="s">
        <v>585</v>
      </c>
      <c r="D40" s="178"/>
      <c r="E40" s="178"/>
      <c r="F40" s="178"/>
      <c r="G40" s="178"/>
      <c r="H40" s="178"/>
      <c r="I40" s="178"/>
      <c r="J40" s="178"/>
      <c r="K40" s="178"/>
      <c r="L40" s="178"/>
      <c r="M40" s="178"/>
      <c r="N40" s="178"/>
      <c r="O40" s="178"/>
      <c r="P40" s="178"/>
      <c r="Q40" s="178"/>
      <c r="R40" s="178"/>
      <c r="S40" s="178"/>
      <c r="T40" s="178"/>
      <c r="U40" s="178"/>
      <c r="V40" s="178"/>
    </row>
    <row r="41" spans="1:22" ht="105.75" customHeight="1" x14ac:dyDescent="0.25">
      <c r="A41" s="27" t="s">
        <v>460</v>
      </c>
      <c r="B41" s="146" t="s">
        <v>483</v>
      </c>
      <c r="C41" s="180" t="s">
        <v>530</v>
      </c>
      <c r="D41" s="178"/>
      <c r="E41" s="178"/>
      <c r="F41" s="178"/>
      <c r="G41" s="178"/>
      <c r="H41" s="178"/>
      <c r="I41" s="178"/>
      <c r="J41" s="178"/>
      <c r="K41" s="178"/>
      <c r="L41" s="178"/>
      <c r="M41" s="178"/>
      <c r="N41" s="178"/>
      <c r="O41" s="178"/>
      <c r="P41" s="178"/>
      <c r="Q41" s="178"/>
      <c r="R41" s="178"/>
      <c r="S41" s="178"/>
      <c r="T41" s="178"/>
      <c r="U41" s="178"/>
      <c r="V41" s="178"/>
    </row>
    <row r="42" spans="1:22" ht="83.25" customHeight="1" x14ac:dyDescent="0.25">
      <c r="A42" s="27" t="s">
        <v>450</v>
      </c>
      <c r="B42" s="146" t="s">
        <v>497</v>
      </c>
      <c r="C42" s="245" t="s">
        <v>530</v>
      </c>
      <c r="D42" s="178"/>
      <c r="E42" s="178"/>
      <c r="F42" s="178"/>
      <c r="G42" s="178"/>
      <c r="H42" s="178"/>
      <c r="I42" s="178"/>
      <c r="J42" s="178"/>
      <c r="K42" s="178"/>
      <c r="L42" s="178"/>
      <c r="M42" s="178"/>
      <c r="N42" s="178"/>
      <c r="O42" s="178"/>
      <c r="P42" s="178"/>
      <c r="Q42" s="178"/>
      <c r="R42" s="178"/>
      <c r="S42" s="178"/>
      <c r="T42" s="178"/>
      <c r="U42" s="178"/>
      <c r="V42" s="178"/>
    </row>
    <row r="43" spans="1:22" ht="186" customHeight="1" x14ac:dyDescent="0.25">
      <c r="A43" s="27" t="s">
        <v>463</v>
      </c>
      <c r="B43" s="146" t="s">
        <v>464</v>
      </c>
      <c r="C43" s="180" t="s">
        <v>508</v>
      </c>
      <c r="D43" s="178"/>
      <c r="E43" s="178"/>
      <c r="F43" s="178"/>
      <c r="G43" s="178"/>
      <c r="H43" s="178"/>
      <c r="I43" s="178"/>
      <c r="J43" s="178"/>
      <c r="K43" s="178"/>
      <c r="L43" s="178"/>
      <c r="M43" s="178"/>
      <c r="N43" s="178"/>
      <c r="O43" s="178"/>
      <c r="P43" s="178"/>
      <c r="Q43" s="178"/>
      <c r="R43" s="178"/>
      <c r="S43" s="178"/>
      <c r="T43" s="178"/>
      <c r="U43" s="178"/>
      <c r="V43" s="178"/>
    </row>
    <row r="44" spans="1:22" ht="111" customHeight="1" x14ac:dyDescent="0.25">
      <c r="A44" s="27" t="s">
        <v>451</v>
      </c>
      <c r="B44" s="146" t="s">
        <v>489</v>
      </c>
      <c r="C44" s="180" t="s">
        <v>515</v>
      </c>
      <c r="D44" s="178"/>
      <c r="E44" s="178"/>
      <c r="F44" s="178"/>
      <c r="G44" s="178"/>
      <c r="H44" s="178"/>
      <c r="I44" s="178"/>
      <c r="J44" s="178"/>
      <c r="K44" s="178"/>
      <c r="L44" s="178"/>
      <c r="M44" s="178"/>
      <c r="N44" s="178"/>
      <c r="O44" s="178"/>
      <c r="P44" s="178"/>
      <c r="Q44" s="178"/>
      <c r="R44" s="178"/>
      <c r="S44" s="178"/>
      <c r="T44" s="178"/>
      <c r="U44" s="178"/>
      <c r="V44" s="178"/>
    </row>
    <row r="45" spans="1:22" ht="89.25" customHeight="1" x14ac:dyDescent="0.25">
      <c r="A45" s="27" t="s">
        <v>484</v>
      </c>
      <c r="B45" s="146" t="s">
        <v>490</v>
      </c>
      <c r="C45" s="180" t="s">
        <v>515</v>
      </c>
      <c r="D45" s="178"/>
      <c r="E45" s="178"/>
      <c r="F45" s="178"/>
      <c r="G45" s="178"/>
      <c r="H45" s="178"/>
      <c r="I45" s="178"/>
      <c r="J45" s="178"/>
      <c r="K45" s="178"/>
      <c r="L45" s="178"/>
      <c r="M45" s="178"/>
      <c r="N45" s="178"/>
      <c r="O45" s="178"/>
      <c r="P45" s="178"/>
      <c r="Q45" s="178"/>
      <c r="R45" s="178"/>
      <c r="S45" s="178"/>
      <c r="T45" s="178"/>
      <c r="U45" s="178"/>
      <c r="V45" s="178"/>
    </row>
    <row r="46" spans="1:22" ht="101.25" customHeight="1" x14ac:dyDescent="0.25">
      <c r="A46" s="27" t="s">
        <v>452</v>
      </c>
      <c r="B46" s="146" t="s">
        <v>491</v>
      </c>
      <c r="C46" s="180" t="s">
        <v>515</v>
      </c>
      <c r="D46" s="178"/>
      <c r="E46" s="178"/>
      <c r="F46" s="178"/>
      <c r="G46" s="178"/>
      <c r="H46" s="178"/>
      <c r="I46" s="178"/>
      <c r="J46" s="178"/>
      <c r="K46" s="178"/>
      <c r="L46" s="178"/>
      <c r="M46" s="178"/>
      <c r="N46" s="178"/>
      <c r="O46" s="178"/>
      <c r="P46" s="178"/>
      <c r="Q46" s="178"/>
      <c r="R46" s="178"/>
      <c r="S46" s="178"/>
      <c r="T46" s="178"/>
      <c r="U46" s="178"/>
      <c r="V46" s="178"/>
    </row>
    <row r="47" spans="1:22" ht="18.75" customHeight="1" x14ac:dyDescent="0.25">
      <c r="A47" s="351"/>
      <c r="B47" s="352"/>
      <c r="C47" s="353"/>
      <c r="D47" s="178"/>
      <c r="E47" s="178"/>
      <c r="F47" s="178"/>
      <c r="G47" s="178"/>
      <c r="H47" s="178"/>
      <c r="I47" s="178"/>
      <c r="J47" s="178"/>
      <c r="K47" s="178"/>
      <c r="L47" s="178"/>
      <c r="M47" s="178"/>
      <c r="N47" s="178"/>
      <c r="O47" s="178"/>
      <c r="P47" s="178"/>
      <c r="Q47" s="178"/>
      <c r="R47" s="178"/>
      <c r="S47" s="178"/>
      <c r="T47" s="178"/>
      <c r="U47" s="178"/>
      <c r="V47" s="178"/>
    </row>
    <row r="48" spans="1:22" ht="75.75" customHeight="1" x14ac:dyDescent="0.25">
      <c r="A48" s="27" t="s">
        <v>485</v>
      </c>
      <c r="B48" s="146" t="s">
        <v>498</v>
      </c>
      <c r="C48" s="244" t="e">
        <f>CONCATENATE(ROUND(#REF!,2)," млн.руб.")</f>
        <v>#REF!</v>
      </c>
      <c r="D48" s="178"/>
      <c r="E48" s="178"/>
      <c r="F48" s="178"/>
      <c r="G48" s="178"/>
      <c r="H48" s="178"/>
      <c r="I48" s="178"/>
      <c r="J48" s="178"/>
      <c r="K48" s="178"/>
      <c r="L48" s="178"/>
      <c r="M48" s="178"/>
      <c r="N48" s="178"/>
      <c r="O48" s="178"/>
      <c r="P48" s="178"/>
      <c r="Q48" s="178"/>
      <c r="R48" s="178"/>
      <c r="S48" s="178"/>
      <c r="T48" s="178"/>
      <c r="U48" s="178"/>
      <c r="V48" s="178"/>
    </row>
    <row r="49" spans="1:22" ht="71.25" customHeight="1" x14ac:dyDescent="0.25">
      <c r="A49" s="27" t="s">
        <v>453</v>
      </c>
      <c r="B49" s="146" t="s">
        <v>499</v>
      </c>
      <c r="C49" s="244" t="e">
        <f>CONCATENATE(ROUND(#REF!,2)," млн.руб.")</f>
        <v>#REF!</v>
      </c>
      <c r="D49" s="178"/>
      <c r="E49" s="178"/>
      <c r="F49" s="178"/>
      <c r="G49" s="178"/>
      <c r="H49" s="178"/>
      <c r="I49" s="178"/>
      <c r="J49" s="178"/>
      <c r="K49" s="178"/>
      <c r="L49" s="178"/>
      <c r="M49" s="178"/>
      <c r="N49" s="178"/>
      <c r="O49" s="178"/>
      <c r="P49" s="178"/>
      <c r="Q49" s="178"/>
      <c r="R49" s="178"/>
      <c r="S49" s="178"/>
      <c r="T49" s="178"/>
      <c r="U49" s="178"/>
      <c r="V49" s="178"/>
    </row>
    <row r="50" spans="1:22" x14ac:dyDescent="0.25">
      <c r="A50" s="178"/>
      <c r="B50" s="178"/>
      <c r="C50" s="178"/>
      <c r="D50" s="178"/>
      <c r="E50" s="178"/>
      <c r="F50" s="178"/>
      <c r="G50" s="178"/>
      <c r="H50" s="178"/>
      <c r="I50" s="178"/>
      <c r="J50" s="178"/>
      <c r="K50" s="178"/>
      <c r="L50" s="178"/>
      <c r="M50" s="178"/>
      <c r="N50" s="178"/>
      <c r="O50" s="178"/>
      <c r="P50" s="178"/>
      <c r="Q50" s="178"/>
      <c r="R50" s="178"/>
      <c r="S50" s="178"/>
      <c r="T50" s="178"/>
      <c r="U50" s="178"/>
      <c r="V50" s="178"/>
    </row>
    <row r="51" spans="1:22" x14ac:dyDescent="0.25">
      <c r="A51" s="178"/>
      <c r="B51" s="178"/>
      <c r="C51" s="178"/>
      <c r="D51" s="178"/>
      <c r="E51" s="178"/>
      <c r="F51" s="178"/>
      <c r="G51" s="178"/>
      <c r="H51" s="178"/>
      <c r="I51" s="178"/>
      <c r="J51" s="178"/>
      <c r="K51" s="178"/>
      <c r="L51" s="178"/>
      <c r="M51" s="178"/>
      <c r="N51" s="178"/>
      <c r="O51" s="178"/>
      <c r="P51" s="178"/>
      <c r="Q51" s="178"/>
      <c r="R51" s="178"/>
      <c r="S51" s="178"/>
      <c r="T51" s="178"/>
      <c r="U51" s="178"/>
      <c r="V51" s="178"/>
    </row>
    <row r="52" spans="1:22" x14ac:dyDescent="0.25">
      <c r="A52" s="178"/>
      <c r="B52" s="178"/>
      <c r="C52" s="178"/>
      <c r="D52" s="178"/>
      <c r="E52" s="178"/>
      <c r="F52" s="178"/>
      <c r="G52" s="178"/>
      <c r="H52" s="178"/>
      <c r="I52" s="178"/>
      <c r="J52" s="178"/>
      <c r="K52" s="178"/>
      <c r="L52" s="178"/>
      <c r="M52" s="178"/>
      <c r="N52" s="178"/>
      <c r="O52" s="178"/>
      <c r="P52" s="178"/>
      <c r="Q52" s="178"/>
      <c r="R52" s="178"/>
      <c r="S52" s="178"/>
      <c r="T52" s="178"/>
      <c r="U52" s="178"/>
      <c r="V52" s="178"/>
    </row>
    <row r="53" spans="1:22" x14ac:dyDescent="0.25">
      <c r="A53" s="178"/>
      <c r="B53" s="178"/>
      <c r="C53" s="178"/>
      <c r="D53" s="178"/>
      <c r="E53" s="178"/>
      <c r="F53" s="178"/>
      <c r="G53" s="178"/>
      <c r="H53" s="178"/>
      <c r="I53" s="178"/>
      <c r="J53" s="178"/>
      <c r="K53" s="178"/>
      <c r="L53" s="178"/>
      <c r="M53" s="178"/>
      <c r="N53" s="178"/>
      <c r="O53" s="178"/>
      <c r="P53" s="178"/>
      <c r="Q53" s="178"/>
      <c r="R53" s="178"/>
      <c r="S53" s="178"/>
      <c r="T53" s="178"/>
      <c r="U53" s="178"/>
      <c r="V53" s="178"/>
    </row>
    <row r="54" spans="1:22" x14ac:dyDescent="0.25">
      <c r="A54" s="178"/>
      <c r="B54" s="178"/>
      <c r="C54" s="178"/>
      <c r="D54" s="178"/>
      <c r="E54" s="178"/>
      <c r="F54" s="178"/>
      <c r="G54" s="178"/>
      <c r="H54" s="178"/>
      <c r="I54" s="178"/>
      <c r="J54" s="178"/>
      <c r="K54" s="178"/>
      <c r="L54" s="178"/>
      <c r="M54" s="178"/>
      <c r="N54" s="178"/>
      <c r="O54" s="178"/>
      <c r="P54" s="178"/>
      <c r="Q54" s="178"/>
      <c r="R54" s="178"/>
      <c r="S54" s="178"/>
      <c r="T54" s="178"/>
      <c r="U54" s="178"/>
      <c r="V54" s="178"/>
    </row>
    <row r="55" spans="1:22" x14ac:dyDescent="0.25">
      <c r="A55" s="178"/>
      <c r="B55" s="178"/>
      <c r="C55" s="178"/>
      <c r="D55" s="178"/>
      <c r="E55" s="178"/>
      <c r="F55" s="178"/>
      <c r="G55" s="178"/>
      <c r="H55" s="178"/>
      <c r="I55" s="178"/>
      <c r="J55" s="178"/>
      <c r="K55" s="178"/>
      <c r="L55" s="178"/>
      <c r="M55" s="178"/>
      <c r="N55" s="178"/>
      <c r="O55" s="178"/>
      <c r="P55" s="178"/>
      <c r="Q55" s="178"/>
      <c r="R55" s="178"/>
      <c r="S55" s="178"/>
      <c r="T55" s="178"/>
      <c r="U55" s="178"/>
      <c r="V55" s="178"/>
    </row>
    <row r="56" spans="1:22" x14ac:dyDescent="0.25">
      <c r="A56" s="178"/>
      <c r="B56" s="178"/>
      <c r="C56" s="178"/>
      <c r="D56" s="178"/>
      <c r="E56" s="178"/>
      <c r="F56" s="178"/>
      <c r="G56" s="178"/>
      <c r="H56" s="178"/>
      <c r="I56" s="178"/>
      <c r="J56" s="178"/>
      <c r="K56" s="178"/>
      <c r="L56" s="178"/>
      <c r="M56" s="178"/>
      <c r="N56" s="178"/>
      <c r="O56" s="178"/>
      <c r="P56" s="178"/>
      <c r="Q56" s="178"/>
      <c r="R56" s="178"/>
      <c r="S56" s="178"/>
      <c r="T56" s="178"/>
      <c r="U56" s="178"/>
      <c r="V56" s="178"/>
    </row>
    <row r="57" spans="1:22" x14ac:dyDescent="0.25">
      <c r="A57" s="178"/>
      <c r="B57" s="178"/>
      <c r="C57" s="178"/>
      <c r="D57" s="178"/>
      <c r="E57" s="178"/>
      <c r="F57" s="178"/>
      <c r="G57" s="178"/>
      <c r="H57" s="178"/>
      <c r="I57" s="178"/>
      <c r="J57" s="178"/>
      <c r="K57" s="178"/>
      <c r="L57" s="178"/>
      <c r="M57" s="178"/>
      <c r="N57" s="178"/>
      <c r="O57" s="178"/>
      <c r="P57" s="178"/>
      <c r="Q57" s="178"/>
      <c r="R57" s="178"/>
      <c r="S57" s="178"/>
      <c r="T57" s="178"/>
      <c r="U57" s="178"/>
      <c r="V57" s="178"/>
    </row>
    <row r="58" spans="1:22" x14ac:dyDescent="0.25">
      <c r="A58" s="178"/>
      <c r="B58" s="178"/>
      <c r="C58" s="178"/>
      <c r="D58" s="178"/>
      <c r="E58" s="178"/>
      <c r="F58" s="178"/>
      <c r="G58" s="178"/>
      <c r="H58" s="178"/>
      <c r="I58" s="178"/>
      <c r="J58" s="178"/>
      <c r="K58" s="178"/>
      <c r="L58" s="178"/>
      <c r="M58" s="178"/>
      <c r="N58" s="178"/>
      <c r="O58" s="178"/>
      <c r="P58" s="178"/>
      <c r="Q58" s="178"/>
      <c r="R58" s="178"/>
      <c r="S58" s="178"/>
      <c r="T58" s="178"/>
      <c r="U58" s="178"/>
      <c r="V58" s="178"/>
    </row>
    <row r="59" spans="1:22" x14ac:dyDescent="0.25">
      <c r="A59" s="178"/>
      <c r="B59" s="178"/>
      <c r="C59" s="178"/>
      <c r="D59" s="178"/>
      <c r="E59" s="178"/>
      <c r="F59" s="178"/>
      <c r="G59" s="178"/>
      <c r="H59" s="178"/>
      <c r="I59" s="178"/>
      <c r="J59" s="178"/>
      <c r="K59" s="178"/>
      <c r="L59" s="178"/>
      <c r="M59" s="178"/>
      <c r="N59" s="178"/>
      <c r="O59" s="178"/>
      <c r="P59" s="178"/>
      <c r="Q59" s="178"/>
      <c r="R59" s="178"/>
      <c r="S59" s="178"/>
      <c r="T59" s="178"/>
      <c r="U59" s="178"/>
      <c r="V59" s="178"/>
    </row>
    <row r="60" spans="1:22" x14ac:dyDescent="0.25">
      <c r="A60" s="178"/>
      <c r="B60" s="178"/>
      <c r="C60" s="178"/>
      <c r="D60" s="178"/>
      <c r="E60" s="178"/>
      <c r="F60" s="178"/>
      <c r="G60" s="178"/>
      <c r="H60" s="178"/>
      <c r="I60" s="178"/>
      <c r="J60" s="178"/>
      <c r="K60" s="178"/>
      <c r="L60" s="178"/>
      <c r="M60" s="178"/>
      <c r="N60" s="178"/>
      <c r="O60" s="178"/>
      <c r="P60" s="178"/>
      <c r="Q60" s="178"/>
      <c r="R60" s="178"/>
      <c r="S60" s="178"/>
      <c r="T60" s="178"/>
      <c r="U60" s="178"/>
      <c r="V60" s="178"/>
    </row>
    <row r="61" spans="1:22" x14ac:dyDescent="0.25">
      <c r="A61" s="178"/>
      <c r="B61" s="178"/>
      <c r="C61" s="178"/>
      <c r="D61" s="178"/>
      <c r="E61" s="178"/>
      <c r="F61" s="178"/>
      <c r="G61" s="178"/>
      <c r="H61" s="178"/>
      <c r="I61" s="178"/>
      <c r="J61" s="178"/>
      <c r="K61" s="178"/>
      <c r="L61" s="178"/>
      <c r="M61" s="178"/>
      <c r="N61" s="178"/>
      <c r="O61" s="178"/>
      <c r="P61" s="178"/>
      <c r="Q61" s="178"/>
      <c r="R61" s="178"/>
      <c r="S61" s="178"/>
      <c r="T61" s="178"/>
      <c r="U61" s="178"/>
      <c r="V61" s="178"/>
    </row>
    <row r="62" spans="1:22" x14ac:dyDescent="0.25">
      <c r="A62" s="178"/>
      <c r="B62" s="178"/>
      <c r="C62" s="178"/>
      <c r="D62" s="178"/>
      <c r="E62" s="178"/>
      <c r="F62" s="178"/>
      <c r="G62" s="178"/>
      <c r="H62" s="178"/>
      <c r="I62" s="178"/>
      <c r="J62" s="178"/>
      <c r="K62" s="178"/>
      <c r="L62" s="178"/>
      <c r="M62" s="178"/>
      <c r="N62" s="178"/>
      <c r="O62" s="178"/>
      <c r="P62" s="178"/>
      <c r="Q62" s="178"/>
      <c r="R62" s="178"/>
      <c r="S62" s="178"/>
      <c r="T62" s="178"/>
      <c r="U62" s="178"/>
      <c r="V62" s="178"/>
    </row>
    <row r="63" spans="1:22" x14ac:dyDescent="0.25">
      <c r="A63" s="178"/>
      <c r="B63" s="178"/>
      <c r="C63" s="178"/>
      <c r="D63" s="178"/>
      <c r="E63" s="178"/>
      <c r="F63" s="178"/>
      <c r="G63" s="178"/>
      <c r="H63" s="178"/>
      <c r="I63" s="178"/>
      <c r="J63" s="178"/>
      <c r="K63" s="178"/>
      <c r="L63" s="178"/>
      <c r="M63" s="178"/>
      <c r="N63" s="178"/>
      <c r="O63" s="178"/>
      <c r="P63" s="178"/>
      <c r="Q63" s="178"/>
      <c r="R63" s="178"/>
      <c r="S63" s="178"/>
      <c r="T63" s="178"/>
      <c r="U63" s="178"/>
      <c r="V63" s="178"/>
    </row>
    <row r="64" spans="1:22" x14ac:dyDescent="0.25">
      <c r="A64" s="178"/>
      <c r="B64" s="178"/>
      <c r="C64" s="178"/>
      <c r="D64" s="178"/>
      <c r="E64" s="178"/>
      <c r="F64" s="178"/>
      <c r="G64" s="178"/>
      <c r="H64" s="178"/>
      <c r="I64" s="178"/>
      <c r="J64" s="178"/>
      <c r="K64" s="178"/>
      <c r="L64" s="178"/>
      <c r="M64" s="178"/>
      <c r="N64" s="178"/>
      <c r="O64" s="178"/>
      <c r="P64" s="178"/>
      <c r="Q64" s="178"/>
      <c r="R64" s="178"/>
      <c r="S64" s="178"/>
      <c r="T64" s="178"/>
      <c r="U64" s="178"/>
      <c r="V64" s="178"/>
    </row>
    <row r="65" spans="1:22" x14ac:dyDescent="0.25">
      <c r="A65" s="178"/>
      <c r="B65" s="178"/>
      <c r="C65" s="178"/>
      <c r="D65" s="178"/>
      <c r="E65" s="178"/>
      <c r="F65" s="178"/>
      <c r="G65" s="178"/>
      <c r="H65" s="178"/>
      <c r="I65" s="178"/>
      <c r="J65" s="178"/>
      <c r="K65" s="178"/>
      <c r="L65" s="178"/>
      <c r="M65" s="178"/>
      <c r="N65" s="178"/>
      <c r="O65" s="178"/>
      <c r="P65" s="178"/>
      <c r="Q65" s="178"/>
      <c r="R65" s="178"/>
      <c r="S65" s="178"/>
      <c r="T65" s="178"/>
      <c r="U65" s="178"/>
      <c r="V65" s="178"/>
    </row>
    <row r="66" spans="1:22" x14ac:dyDescent="0.25">
      <c r="A66" s="178"/>
      <c r="B66" s="178"/>
      <c r="C66" s="178"/>
      <c r="D66" s="178"/>
      <c r="E66" s="178"/>
      <c r="F66" s="178"/>
      <c r="G66" s="178"/>
      <c r="H66" s="178"/>
      <c r="I66" s="178"/>
      <c r="J66" s="178"/>
      <c r="K66" s="178"/>
      <c r="L66" s="178"/>
      <c r="M66" s="178"/>
      <c r="N66" s="178"/>
      <c r="O66" s="178"/>
      <c r="P66" s="178"/>
      <c r="Q66" s="178"/>
      <c r="R66" s="178"/>
      <c r="S66" s="178"/>
      <c r="T66" s="178"/>
      <c r="U66" s="178"/>
      <c r="V66" s="178"/>
    </row>
    <row r="67" spans="1:22" x14ac:dyDescent="0.25">
      <c r="A67" s="178"/>
      <c r="B67" s="178"/>
      <c r="C67" s="178"/>
      <c r="D67" s="178"/>
      <c r="E67" s="178"/>
      <c r="F67" s="178"/>
      <c r="G67" s="178"/>
      <c r="H67" s="178"/>
      <c r="I67" s="178"/>
      <c r="J67" s="178"/>
      <c r="K67" s="178"/>
      <c r="L67" s="178"/>
      <c r="M67" s="178"/>
      <c r="N67" s="178"/>
      <c r="O67" s="178"/>
      <c r="P67" s="178"/>
      <c r="Q67" s="178"/>
      <c r="R67" s="178"/>
      <c r="S67" s="178"/>
      <c r="T67" s="178"/>
      <c r="U67" s="178"/>
      <c r="V67" s="178"/>
    </row>
    <row r="68" spans="1:22" x14ac:dyDescent="0.25">
      <c r="A68" s="178"/>
      <c r="B68" s="178"/>
      <c r="C68" s="178"/>
      <c r="D68" s="178"/>
      <c r="E68" s="178"/>
      <c r="F68" s="178"/>
      <c r="G68" s="178"/>
      <c r="H68" s="178"/>
      <c r="I68" s="178"/>
      <c r="J68" s="178"/>
      <c r="K68" s="178"/>
      <c r="L68" s="178"/>
      <c r="M68" s="178"/>
      <c r="N68" s="178"/>
      <c r="O68" s="178"/>
      <c r="P68" s="178"/>
      <c r="Q68" s="178"/>
      <c r="R68" s="178"/>
      <c r="S68" s="178"/>
      <c r="T68" s="178"/>
      <c r="U68" s="178"/>
      <c r="V68" s="178"/>
    </row>
    <row r="69" spans="1:22" x14ac:dyDescent="0.25">
      <c r="A69" s="178"/>
      <c r="B69" s="178"/>
      <c r="C69" s="178"/>
      <c r="D69" s="178"/>
      <c r="E69" s="178"/>
      <c r="F69" s="178"/>
      <c r="G69" s="178"/>
      <c r="H69" s="178"/>
      <c r="I69" s="178"/>
      <c r="J69" s="178"/>
      <c r="K69" s="178"/>
      <c r="L69" s="178"/>
      <c r="M69" s="178"/>
      <c r="N69" s="178"/>
      <c r="O69" s="178"/>
      <c r="P69" s="178"/>
      <c r="Q69" s="178"/>
      <c r="R69" s="178"/>
      <c r="S69" s="178"/>
      <c r="T69" s="178"/>
      <c r="U69" s="178"/>
      <c r="V69" s="178"/>
    </row>
    <row r="70" spans="1:22" x14ac:dyDescent="0.25">
      <c r="A70" s="178"/>
      <c r="B70" s="178"/>
      <c r="C70" s="178"/>
      <c r="D70" s="178"/>
      <c r="E70" s="178"/>
      <c r="F70" s="178"/>
      <c r="G70" s="178"/>
      <c r="H70" s="178"/>
      <c r="I70" s="178"/>
      <c r="J70" s="178"/>
      <c r="K70" s="178"/>
      <c r="L70" s="178"/>
      <c r="M70" s="178"/>
      <c r="N70" s="178"/>
      <c r="O70" s="178"/>
      <c r="P70" s="178"/>
      <c r="Q70" s="178"/>
      <c r="R70" s="178"/>
      <c r="S70" s="178"/>
      <c r="T70" s="178"/>
      <c r="U70" s="178"/>
      <c r="V70" s="178"/>
    </row>
    <row r="71" spans="1:22" x14ac:dyDescent="0.25">
      <c r="A71" s="178"/>
      <c r="B71" s="178"/>
      <c r="C71" s="178"/>
      <c r="D71" s="178"/>
      <c r="E71" s="178"/>
      <c r="F71" s="178"/>
      <c r="G71" s="178"/>
      <c r="H71" s="178"/>
      <c r="I71" s="178"/>
      <c r="J71" s="178"/>
      <c r="K71" s="178"/>
      <c r="L71" s="178"/>
      <c r="M71" s="178"/>
      <c r="N71" s="178"/>
      <c r="O71" s="178"/>
      <c r="P71" s="178"/>
      <c r="Q71" s="178"/>
      <c r="R71" s="178"/>
      <c r="S71" s="178"/>
      <c r="T71" s="178"/>
      <c r="U71" s="178"/>
      <c r="V71" s="178"/>
    </row>
    <row r="72" spans="1:22" x14ac:dyDescent="0.25">
      <c r="A72" s="178"/>
      <c r="B72" s="178"/>
      <c r="C72" s="178"/>
      <c r="D72" s="178"/>
      <c r="E72" s="178"/>
      <c r="F72" s="178"/>
      <c r="G72" s="178"/>
      <c r="H72" s="178"/>
      <c r="I72" s="178"/>
      <c r="J72" s="178"/>
      <c r="K72" s="178"/>
      <c r="L72" s="178"/>
      <c r="M72" s="178"/>
      <c r="N72" s="178"/>
      <c r="O72" s="178"/>
      <c r="P72" s="178"/>
      <c r="Q72" s="178"/>
      <c r="R72" s="178"/>
      <c r="S72" s="178"/>
      <c r="T72" s="178"/>
      <c r="U72" s="178"/>
      <c r="V72" s="178"/>
    </row>
    <row r="73" spans="1:22" x14ac:dyDescent="0.25">
      <c r="A73" s="178"/>
      <c r="B73" s="178"/>
      <c r="C73" s="178"/>
      <c r="D73" s="178"/>
      <c r="E73" s="178"/>
      <c r="F73" s="178"/>
      <c r="G73" s="178"/>
      <c r="H73" s="178"/>
      <c r="I73" s="178"/>
      <c r="J73" s="178"/>
      <c r="K73" s="178"/>
      <c r="L73" s="178"/>
      <c r="M73" s="178"/>
      <c r="N73" s="178"/>
      <c r="O73" s="178"/>
      <c r="P73" s="178"/>
      <c r="Q73" s="178"/>
      <c r="R73" s="178"/>
      <c r="S73" s="178"/>
      <c r="T73" s="178"/>
      <c r="U73" s="178"/>
      <c r="V73" s="178"/>
    </row>
    <row r="74" spans="1:22" x14ac:dyDescent="0.25">
      <c r="A74" s="178"/>
      <c r="B74" s="178"/>
      <c r="C74" s="178"/>
      <c r="D74" s="178"/>
      <c r="E74" s="178"/>
      <c r="F74" s="178"/>
      <c r="G74" s="178"/>
      <c r="H74" s="178"/>
      <c r="I74" s="178"/>
      <c r="J74" s="178"/>
      <c r="K74" s="178"/>
      <c r="L74" s="178"/>
      <c r="M74" s="178"/>
      <c r="N74" s="178"/>
      <c r="O74" s="178"/>
      <c r="P74" s="178"/>
      <c r="Q74" s="178"/>
      <c r="R74" s="178"/>
      <c r="S74" s="178"/>
      <c r="T74" s="178"/>
      <c r="U74" s="178"/>
      <c r="V74" s="178"/>
    </row>
    <row r="75" spans="1:22" x14ac:dyDescent="0.25">
      <c r="A75" s="178"/>
      <c r="B75" s="178"/>
      <c r="C75" s="178"/>
      <c r="D75" s="178"/>
      <c r="E75" s="178"/>
      <c r="F75" s="178"/>
      <c r="G75" s="178"/>
      <c r="H75" s="178"/>
      <c r="I75" s="178"/>
      <c r="J75" s="178"/>
      <c r="K75" s="178"/>
      <c r="L75" s="178"/>
      <c r="M75" s="178"/>
      <c r="N75" s="178"/>
      <c r="O75" s="178"/>
      <c r="P75" s="178"/>
      <c r="Q75" s="178"/>
      <c r="R75" s="178"/>
      <c r="S75" s="178"/>
      <c r="T75" s="178"/>
      <c r="U75" s="178"/>
      <c r="V75" s="178"/>
    </row>
    <row r="76" spans="1:22" x14ac:dyDescent="0.25">
      <c r="A76" s="178"/>
      <c r="B76" s="178"/>
      <c r="C76" s="178"/>
      <c r="D76" s="178"/>
      <c r="E76" s="178"/>
      <c r="F76" s="178"/>
      <c r="G76" s="178"/>
      <c r="H76" s="178"/>
      <c r="I76" s="178"/>
      <c r="J76" s="178"/>
      <c r="K76" s="178"/>
      <c r="L76" s="178"/>
      <c r="M76" s="178"/>
      <c r="N76" s="178"/>
      <c r="O76" s="178"/>
      <c r="P76" s="178"/>
      <c r="Q76" s="178"/>
      <c r="R76" s="178"/>
      <c r="S76" s="178"/>
      <c r="T76" s="178"/>
      <c r="U76" s="178"/>
      <c r="V76" s="178"/>
    </row>
    <row r="77" spans="1:22" x14ac:dyDescent="0.25">
      <c r="A77" s="178"/>
      <c r="B77" s="178"/>
      <c r="C77" s="178"/>
      <c r="D77" s="178"/>
      <c r="E77" s="178"/>
      <c r="F77" s="178"/>
      <c r="G77" s="178"/>
      <c r="H77" s="178"/>
      <c r="I77" s="178"/>
      <c r="J77" s="178"/>
      <c r="K77" s="178"/>
      <c r="L77" s="178"/>
      <c r="M77" s="178"/>
      <c r="N77" s="178"/>
      <c r="O77" s="178"/>
      <c r="P77" s="178"/>
      <c r="Q77" s="178"/>
      <c r="R77" s="178"/>
      <c r="S77" s="178"/>
      <c r="T77" s="178"/>
      <c r="U77" s="178"/>
      <c r="V77" s="178"/>
    </row>
    <row r="78" spans="1:22" x14ac:dyDescent="0.25">
      <c r="A78" s="178"/>
      <c r="B78" s="178"/>
      <c r="C78" s="178"/>
      <c r="D78" s="178"/>
      <c r="E78" s="178"/>
      <c r="F78" s="178"/>
      <c r="G78" s="178"/>
      <c r="H78" s="178"/>
      <c r="I78" s="178"/>
      <c r="J78" s="178"/>
      <c r="K78" s="178"/>
      <c r="L78" s="178"/>
      <c r="M78" s="178"/>
      <c r="N78" s="178"/>
      <c r="O78" s="178"/>
      <c r="P78" s="178"/>
      <c r="Q78" s="178"/>
      <c r="R78" s="178"/>
      <c r="S78" s="178"/>
      <c r="T78" s="178"/>
      <c r="U78" s="178"/>
      <c r="V78" s="178"/>
    </row>
    <row r="79" spans="1:22" x14ac:dyDescent="0.25">
      <c r="A79" s="178"/>
      <c r="B79" s="178"/>
      <c r="C79" s="178"/>
      <c r="D79" s="178"/>
      <c r="E79" s="178"/>
      <c r="F79" s="178"/>
      <c r="G79" s="178"/>
      <c r="H79" s="178"/>
      <c r="I79" s="178"/>
      <c r="J79" s="178"/>
      <c r="K79" s="178"/>
      <c r="L79" s="178"/>
      <c r="M79" s="178"/>
      <c r="N79" s="178"/>
      <c r="O79" s="178"/>
      <c r="P79" s="178"/>
      <c r="Q79" s="178"/>
      <c r="R79" s="178"/>
      <c r="S79" s="178"/>
      <c r="T79" s="178"/>
      <c r="U79" s="178"/>
      <c r="V79" s="178"/>
    </row>
    <row r="80" spans="1:22" x14ac:dyDescent="0.25">
      <c r="A80" s="178"/>
      <c r="B80" s="178"/>
      <c r="C80" s="178"/>
      <c r="D80" s="178"/>
      <c r="E80" s="178"/>
      <c r="F80" s="178"/>
      <c r="G80" s="178"/>
      <c r="H80" s="178"/>
      <c r="I80" s="178"/>
      <c r="J80" s="178"/>
      <c r="K80" s="178"/>
      <c r="L80" s="178"/>
      <c r="M80" s="178"/>
      <c r="N80" s="178"/>
      <c r="O80" s="178"/>
      <c r="P80" s="178"/>
      <c r="Q80" s="178"/>
      <c r="R80" s="178"/>
      <c r="S80" s="178"/>
      <c r="T80" s="178"/>
      <c r="U80" s="178"/>
      <c r="V80" s="178"/>
    </row>
    <row r="81" spans="1:22" x14ac:dyDescent="0.25">
      <c r="A81" s="178"/>
      <c r="B81" s="178"/>
      <c r="C81" s="178"/>
      <c r="D81" s="178"/>
      <c r="E81" s="178"/>
      <c r="F81" s="178"/>
      <c r="G81" s="178"/>
      <c r="H81" s="178"/>
      <c r="I81" s="178"/>
      <c r="J81" s="178"/>
      <c r="K81" s="178"/>
      <c r="L81" s="178"/>
      <c r="M81" s="178"/>
      <c r="N81" s="178"/>
      <c r="O81" s="178"/>
      <c r="P81" s="178"/>
      <c r="Q81" s="178"/>
      <c r="R81" s="178"/>
      <c r="S81" s="178"/>
      <c r="T81" s="178"/>
      <c r="U81" s="178"/>
      <c r="V81" s="178"/>
    </row>
    <row r="82" spans="1:22" x14ac:dyDescent="0.25">
      <c r="A82" s="178"/>
      <c r="B82" s="178"/>
      <c r="C82" s="178"/>
      <c r="D82" s="178"/>
      <c r="E82" s="178"/>
      <c r="F82" s="178"/>
      <c r="G82" s="178"/>
      <c r="H82" s="178"/>
      <c r="I82" s="178"/>
      <c r="J82" s="178"/>
      <c r="K82" s="178"/>
      <c r="L82" s="178"/>
      <c r="M82" s="178"/>
      <c r="N82" s="178"/>
      <c r="O82" s="178"/>
      <c r="P82" s="178"/>
      <c r="Q82" s="178"/>
      <c r="R82" s="178"/>
      <c r="S82" s="178"/>
      <c r="T82" s="178"/>
      <c r="U82" s="178"/>
      <c r="V82" s="178"/>
    </row>
    <row r="83" spans="1:22" x14ac:dyDescent="0.25">
      <c r="A83" s="178"/>
      <c r="B83" s="178"/>
      <c r="C83" s="178"/>
      <c r="D83" s="178"/>
      <c r="E83" s="178"/>
      <c r="F83" s="178"/>
      <c r="G83" s="178"/>
      <c r="H83" s="178"/>
      <c r="I83" s="178"/>
      <c r="J83" s="178"/>
      <c r="K83" s="178"/>
      <c r="L83" s="178"/>
      <c r="M83" s="178"/>
      <c r="N83" s="178"/>
      <c r="O83" s="178"/>
      <c r="P83" s="178"/>
      <c r="Q83" s="178"/>
      <c r="R83" s="178"/>
      <c r="S83" s="178"/>
      <c r="T83" s="178"/>
      <c r="U83" s="178"/>
      <c r="V83" s="178"/>
    </row>
    <row r="84" spans="1:22" x14ac:dyDescent="0.25">
      <c r="A84" s="178"/>
      <c r="B84" s="178"/>
      <c r="C84" s="178"/>
      <c r="D84" s="178"/>
      <c r="E84" s="178"/>
      <c r="F84" s="178"/>
      <c r="G84" s="178"/>
      <c r="H84" s="178"/>
      <c r="I84" s="178"/>
      <c r="J84" s="178"/>
      <c r="K84" s="178"/>
      <c r="L84" s="178"/>
      <c r="M84" s="178"/>
      <c r="N84" s="178"/>
      <c r="O84" s="178"/>
      <c r="P84" s="178"/>
      <c r="Q84" s="178"/>
      <c r="R84" s="178"/>
      <c r="S84" s="178"/>
      <c r="T84" s="178"/>
      <c r="U84" s="178"/>
      <c r="V84" s="178"/>
    </row>
    <row r="85" spans="1:22" x14ac:dyDescent="0.25">
      <c r="A85" s="178"/>
      <c r="B85" s="178"/>
      <c r="C85" s="178"/>
      <c r="D85" s="178"/>
      <c r="E85" s="178"/>
      <c r="F85" s="178"/>
      <c r="G85" s="178"/>
      <c r="H85" s="178"/>
      <c r="I85" s="178"/>
      <c r="J85" s="178"/>
      <c r="K85" s="178"/>
      <c r="L85" s="178"/>
      <c r="M85" s="178"/>
      <c r="N85" s="178"/>
      <c r="O85" s="178"/>
      <c r="P85" s="178"/>
      <c r="Q85" s="178"/>
      <c r="R85" s="178"/>
      <c r="S85" s="178"/>
      <c r="T85" s="178"/>
      <c r="U85" s="178"/>
      <c r="V85" s="178"/>
    </row>
    <row r="86" spans="1:22" x14ac:dyDescent="0.25">
      <c r="A86" s="178"/>
      <c r="B86" s="178"/>
      <c r="C86" s="178"/>
      <c r="D86" s="178"/>
      <c r="E86" s="178"/>
      <c r="F86" s="178"/>
      <c r="G86" s="178"/>
      <c r="H86" s="178"/>
      <c r="I86" s="178"/>
      <c r="J86" s="178"/>
      <c r="K86" s="178"/>
      <c r="L86" s="178"/>
      <c r="M86" s="178"/>
      <c r="N86" s="178"/>
      <c r="O86" s="178"/>
      <c r="P86" s="178"/>
      <c r="Q86" s="178"/>
      <c r="R86" s="178"/>
      <c r="S86" s="178"/>
      <c r="T86" s="178"/>
      <c r="U86" s="178"/>
      <c r="V86" s="178"/>
    </row>
    <row r="87" spans="1:22" x14ac:dyDescent="0.25">
      <c r="A87" s="178"/>
      <c r="B87" s="178"/>
      <c r="C87" s="178"/>
      <c r="D87" s="178"/>
      <c r="E87" s="178"/>
      <c r="F87" s="178"/>
      <c r="G87" s="178"/>
      <c r="H87" s="178"/>
      <c r="I87" s="178"/>
      <c r="J87" s="178"/>
      <c r="K87" s="178"/>
      <c r="L87" s="178"/>
      <c r="M87" s="178"/>
      <c r="N87" s="178"/>
      <c r="O87" s="178"/>
      <c r="P87" s="178"/>
      <c r="Q87" s="178"/>
      <c r="R87" s="178"/>
      <c r="S87" s="178"/>
      <c r="T87" s="178"/>
      <c r="U87" s="178"/>
      <c r="V87" s="178"/>
    </row>
    <row r="88" spans="1:22" x14ac:dyDescent="0.25">
      <c r="A88" s="178"/>
      <c r="B88" s="178"/>
      <c r="C88" s="178"/>
      <c r="D88" s="178"/>
      <c r="E88" s="178"/>
      <c r="F88" s="178"/>
      <c r="G88" s="178"/>
      <c r="H88" s="178"/>
      <c r="I88" s="178"/>
      <c r="J88" s="178"/>
      <c r="K88" s="178"/>
      <c r="L88" s="178"/>
      <c r="M88" s="178"/>
      <c r="N88" s="178"/>
      <c r="O88" s="178"/>
      <c r="P88" s="178"/>
      <c r="Q88" s="178"/>
      <c r="R88" s="178"/>
      <c r="S88" s="178"/>
      <c r="T88" s="178"/>
      <c r="U88" s="178"/>
      <c r="V88" s="178"/>
    </row>
    <row r="89" spans="1:22" x14ac:dyDescent="0.25">
      <c r="A89" s="178"/>
      <c r="B89" s="178"/>
      <c r="C89" s="178"/>
      <c r="D89" s="178"/>
      <c r="E89" s="178"/>
      <c r="F89" s="178"/>
      <c r="G89" s="178"/>
      <c r="H89" s="178"/>
      <c r="I89" s="178"/>
      <c r="J89" s="178"/>
      <c r="K89" s="178"/>
      <c r="L89" s="178"/>
      <c r="M89" s="178"/>
      <c r="N89" s="178"/>
      <c r="O89" s="178"/>
      <c r="P89" s="178"/>
      <c r="Q89" s="178"/>
      <c r="R89" s="178"/>
      <c r="S89" s="178"/>
      <c r="T89" s="178"/>
      <c r="U89" s="178"/>
      <c r="V89" s="178"/>
    </row>
    <row r="90" spans="1:22" x14ac:dyDescent="0.25">
      <c r="A90" s="178"/>
      <c r="B90" s="178"/>
      <c r="C90" s="178"/>
      <c r="D90" s="178"/>
      <c r="E90" s="178"/>
      <c r="F90" s="178"/>
      <c r="G90" s="178"/>
      <c r="H90" s="178"/>
      <c r="I90" s="178"/>
      <c r="J90" s="178"/>
      <c r="K90" s="178"/>
      <c r="L90" s="178"/>
      <c r="M90" s="178"/>
      <c r="N90" s="178"/>
      <c r="O90" s="178"/>
      <c r="P90" s="178"/>
      <c r="Q90" s="178"/>
      <c r="R90" s="178"/>
      <c r="S90" s="178"/>
      <c r="T90" s="178"/>
      <c r="U90" s="178"/>
      <c r="V90" s="178"/>
    </row>
    <row r="91" spans="1:22" x14ac:dyDescent="0.25">
      <c r="A91" s="178"/>
      <c r="B91" s="178"/>
      <c r="C91" s="178"/>
      <c r="D91" s="178"/>
      <c r="E91" s="178"/>
      <c r="F91" s="178"/>
      <c r="G91" s="178"/>
      <c r="H91" s="178"/>
      <c r="I91" s="178"/>
      <c r="J91" s="178"/>
      <c r="K91" s="178"/>
      <c r="L91" s="178"/>
      <c r="M91" s="178"/>
      <c r="N91" s="178"/>
      <c r="O91" s="178"/>
      <c r="P91" s="178"/>
      <c r="Q91" s="178"/>
      <c r="R91" s="178"/>
      <c r="S91" s="178"/>
      <c r="T91" s="178"/>
      <c r="U91" s="178"/>
      <c r="V91" s="178"/>
    </row>
    <row r="92" spans="1:22" x14ac:dyDescent="0.25">
      <c r="A92" s="178"/>
      <c r="B92" s="178"/>
      <c r="C92" s="178"/>
      <c r="D92" s="178"/>
      <c r="E92" s="178"/>
      <c r="F92" s="178"/>
      <c r="G92" s="178"/>
      <c r="H92" s="178"/>
      <c r="I92" s="178"/>
      <c r="J92" s="178"/>
      <c r="K92" s="178"/>
      <c r="L92" s="178"/>
      <c r="M92" s="178"/>
      <c r="N92" s="178"/>
      <c r="O92" s="178"/>
      <c r="P92" s="178"/>
      <c r="Q92" s="178"/>
      <c r="R92" s="178"/>
      <c r="S92" s="178"/>
      <c r="T92" s="178"/>
      <c r="U92" s="178"/>
      <c r="V92" s="178"/>
    </row>
    <row r="93" spans="1:22" x14ac:dyDescent="0.25">
      <c r="A93" s="178"/>
      <c r="B93" s="178"/>
      <c r="C93" s="178"/>
      <c r="D93" s="178"/>
      <c r="E93" s="178"/>
      <c r="F93" s="178"/>
      <c r="G93" s="178"/>
      <c r="H93" s="178"/>
      <c r="I93" s="178"/>
      <c r="J93" s="178"/>
      <c r="K93" s="178"/>
      <c r="L93" s="178"/>
      <c r="M93" s="178"/>
      <c r="N93" s="178"/>
      <c r="O93" s="178"/>
      <c r="P93" s="178"/>
      <c r="Q93" s="178"/>
      <c r="R93" s="178"/>
      <c r="S93" s="178"/>
      <c r="T93" s="178"/>
      <c r="U93" s="178"/>
      <c r="V93" s="178"/>
    </row>
    <row r="94" spans="1:22" x14ac:dyDescent="0.25">
      <c r="A94" s="178"/>
      <c r="B94" s="178"/>
      <c r="C94" s="178"/>
      <c r="D94" s="178"/>
      <c r="E94" s="178"/>
      <c r="F94" s="178"/>
      <c r="G94" s="178"/>
      <c r="H94" s="178"/>
      <c r="I94" s="178"/>
      <c r="J94" s="178"/>
      <c r="K94" s="178"/>
      <c r="L94" s="178"/>
      <c r="M94" s="178"/>
      <c r="N94" s="178"/>
      <c r="O94" s="178"/>
      <c r="P94" s="178"/>
      <c r="Q94" s="178"/>
      <c r="R94" s="178"/>
      <c r="S94" s="178"/>
      <c r="T94" s="178"/>
      <c r="U94" s="178"/>
      <c r="V94" s="178"/>
    </row>
    <row r="95" spans="1:22" x14ac:dyDescent="0.25">
      <c r="A95" s="178"/>
      <c r="B95" s="178"/>
      <c r="C95" s="178"/>
      <c r="D95" s="178"/>
      <c r="E95" s="178"/>
      <c r="F95" s="178"/>
      <c r="G95" s="178"/>
      <c r="H95" s="178"/>
      <c r="I95" s="178"/>
      <c r="J95" s="178"/>
      <c r="K95" s="178"/>
      <c r="L95" s="178"/>
      <c r="M95" s="178"/>
      <c r="N95" s="178"/>
      <c r="O95" s="178"/>
      <c r="P95" s="178"/>
      <c r="Q95" s="178"/>
      <c r="R95" s="178"/>
      <c r="S95" s="178"/>
      <c r="T95" s="178"/>
      <c r="U95" s="178"/>
      <c r="V95" s="178"/>
    </row>
    <row r="96" spans="1:22" x14ac:dyDescent="0.25">
      <c r="A96" s="178"/>
      <c r="B96" s="178"/>
      <c r="C96" s="178"/>
      <c r="D96" s="178"/>
      <c r="E96" s="178"/>
      <c r="F96" s="178"/>
      <c r="G96" s="178"/>
      <c r="H96" s="178"/>
      <c r="I96" s="178"/>
      <c r="J96" s="178"/>
      <c r="K96" s="178"/>
      <c r="L96" s="178"/>
      <c r="M96" s="178"/>
      <c r="N96" s="178"/>
      <c r="O96" s="178"/>
      <c r="P96" s="178"/>
      <c r="Q96" s="178"/>
      <c r="R96" s="178"/>
      <c r="S96" s="178"/>
      <c r="T96" s="178"/>
      <c r="U96" s="178"/>
      <c r="V96" s="178"/>
    </row>
    <row r="97" spans="1:22" x14ac:dyDescent="0.25">
      <c r="A97" s="178"/>
      <c r="B97" s="178"/>
      <c r="C97" s="178"/>
      <c r="D97" s="178"/>
      <c r="E97" s="178"/>
      <c r="F97" s="178"/>
      <c r="G97" s="178"/>
      <c r="H97" s="178"/>
      <c r="I97" s="178"/>
      <c r="J97" s="178"/>
      <c r="K97" s="178"/>
      <c r="L97" s="178"/>
      <c r="M97" s="178"/>
      <c r="N97" s="178"/>
      <c r="O97" s="178"/>
      <c r="P97" s="178"/>
      <c r="Q97" s="178"/>
      <c r="R97" s="178"/>
      <c r="S97" s="178"/>
      <c r="T97" s="178"/>
      <c r="U97" s="178"/>
      <c r="V97" s="178"/>
    </row>
    <row r="98" spans="1:22" x14ac:dyDescent="0.25">
      <c r="A98" s="178"/>
      <c r="B98" s="178"/>
      <c r="C98" s="178"/>
      <c r="D98" s="178"/>
      <c r="E98" s="178"/>
      <c r="F98" s="178"/>
      <c r="G98" s="178"/>
      <c r="H98" s="178"/>
      <c r="I98" s="178"/>
      <c r="J98" s="178"/>
      <c r="K98" s="178"/>
      <c r="L98" s="178"/>
      <c r="M98" s="178"/>
      <c r="N98" s="178"/>
      <c r="O98" s="178"/>
      <c r="P98" s="178"/>
      <c r="Q98" s="178"/>
      <c r="R98" s="178"/>
      <c r="S98" s="178"/>
      <c r="T98" s="178"/>
      <c r="U98" s="178"/>
      <c r="V98" s="178"/>
    </row>
    <row r="99" spans="1:22" x14ac:dyDescent="0.25">
      <c r="A99" s="178"/>
      <c r="B99" s="178"/>
      <c r="C99" s="178"/>
      <c r="D99" s="178"/>
      <c r="E99" s="178"/>
      <c r="F99" s="178"/>
      <c r="G99" s="178"/>
      <c r="H99" s="178"/>
      <c r="I99" s="178"/>
      <c r="J99" s="178"/>
      <c r="K99" s="178"/>
      <c r="L99" s="178"/>
      <c r="M99" s="178"/>
      <c r="N99" s="178"/>
      <c r="O99" s="178"/>
      <c r="P99" s="178"/>
      <c r="Q99" s="178"/>
      <c r="R99" s="178"/>
      <c r="S99" s="178"/>
      <c r="T99" s="178"/>
      <c r="U99" s="178"/>
      <c r="V99" s="178"/>
    </row>
    <row r="100" spans="1:22"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c r="V100" s="178"/>
    </row>
    <row r="101" spans="1:22"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c r="V101" s="178"/>
    </row>
    <row r="102" spans="1:22"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c r="V102" s="178"/>
    </row>
    <row r="103" spans="1:22"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c r="V103" s="178"/>
    </row>
    <row r="104" spans="1:22"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c r="V104" s="178"/>
    </row>
    <row r="105" spans="1:22"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c r="V105" s="178"/>
    </row>
    <row r="106" spans="1:22"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c r="V106" s="178"/>
    </row>
    <row r="107" spans="1:22"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c r="V107" s="178"/>
    </row>
    <row r="108" spans="1:22"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c r="V108" s="178"/>
    </row>
    <row r="109" spans="1:22"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c r="V109" s="178"/>
    </row>
    <row r="110" spans="1:22"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c r="V110" s="178"/>
    </row>
    <row r="111" spans="1:22"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c r="V111" s="178"/>
    </row>
    <row r="112" spans="1:22"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c r="V112" s="178"/>
    </row>
    <row r="113" spans="1:22"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c r="V113" s="178"/>
    </row>
    <row r="114" spans="1:22"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c r="V114" s="178"/>
    </row>
    <row r="115" spans="1:22"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c r="V115" s="178"/>
    </row>
    <row r="116" spans="1:22"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c r="V116" s="178"/>
    </row>
    <row r="117" spans="1:22"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c r="V117" s="178"/>
    </row>
    <row r="118" spans="1:22"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c r="V118" s="178"/>
    </row>
    <row r="119" spans="1:22"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c r="V119" s="178"/>
    </row>
    <row r="120" spans="1:22"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c r="V120" s="178"/>
    </row>
    <row r="121" spans="1:22"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c r="V121" s="178"/>
    </row>
    <row r="122" spans="1:22"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c r="V122" s="178"/>
    </row>
    <row r="123" spans="1:22"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c r="V123" s="178"/>
    </row>
    <row r="124" spans="1:22"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c r="V124" s="178"/>
    </row>
    <row r="125" spans="1:22"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c r="V125" s="178"/>
    </row>
    <row r="126" spans="1:22"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c r="V126" s="178"/>
    </row>
    <row r="127" spans="1:22"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c r="V127" s="178"/>
    </row>
    <row r="128" spans="1:22"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c r="V128" s="178"/>
    </row>
    <row r="129" spans="1:22"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c r="V129" s="178"/>
    </row>
    <row r="130" spans="1:22"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c r="V130" s="178"/>
    </row>
    <row r="131" spans="1:22"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c r="V131" s="178"/>
    </row>
    <row r="132" spans="1:22"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c r="V132" s="178"/>
    </row>
    <row r="133" spans="1:22"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c r="V133" s="178"/>
    </row>
    <row r="134" spans="1:22"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c r="V134" s="178"/>
    </row>
    <row r="135" spans="1:22"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c r="V135" s="178"/>
    </row>
    <row r="136" spans="1:22"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c r="V136" s="178"/>
    </row>
    <row r="137" spans="1:22"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c r="V137" s="178"/>
    </row>
    <row r="138" spans="1:22"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c r="V138" s="178"/>
    </row>
    <row r="139" spans="1:22"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c r="V139" s="178"/>
    </row>
    <row r="140" spans="1:22"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c r="V140" s="178"/>
    </row>
    <row r="141" spans="1:22"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c r="V141" s="178"/>
    </row>
    <row r="142" spans="1:22"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c r="V142" s="178"/>
    </row>
    <row r="143" spans="1:22"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c r="V143" s="178"/>
    </row>
    <row r="144" spans="1:22"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c r="V144" s="178"/>
    </row>
    <row r="145" spans="1:22"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row>
    <row r="146" spans="1:22"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c r="V146" s="178"/>
    </row>
    <row r="147" spans="1:22"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c r="V147" s="178"/>
    </row>
    <row r="148" spans="1:22"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row>
    <row r="149" spans="1:22"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c r="V149" s="178"/>
    </row>
    <row r="150" spans="1:22"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c r="V150" s="178"/>
    </row>
    <row r="151" spans="1:22"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c r="V151" s="178"/>
    </row>
    <row r="152" spans="1:22"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c r="V152" s="178"/>
    </row>
    <row r="153" spans="1:22"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c r="V153" s="178"/>
    </row>
    <row r="154" spans="1:22"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c r="V154" s="178"/>
    </row>
    <row r="155" spans="1:22"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c r="V155" s="178"/>
    </row>
    <row r="156" spans="1:22"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c r="V156" s="178"/>
    </row>
    <row r="157" spans="1:22"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c r="V157" s="178"/>
    </row>
    <row r="158" spans="1:22"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c r="V158" s="178"/>
    </row>
    <row r="159" spans="1:22"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c r="V159" s="178"/>
    </row>
    <row r="160" spans="1:22"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c r="V160" s="178"/>
    </row>
    <row r="161" spans="1:22"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c r="V161" s="178"/>
    </row>
    <row r="162" spans="1:22"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c r="V162" s="178"/>
    </row>
    <row r="163" spans="1:22"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c r="V163" s="178"/>
    </row>
    <row r="164" spans="1:22"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c r="V164" s="178"/>
    </row>
    <row r="165" spans="1:22"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c r="V165" s="178"/>
    </row>
    <row r="166" spans="1:22"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c r="V166" s="178"/>
    </row>
    <row r="167" spans="1:22"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c r="V167" s="178"/>
    </row>
    <row r="168" spans="1:22"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c r="V168" s="178"/>
    </row>
    <row r="169" spans="1:22"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c r="V169" s="178"/>
    </row>
    <row r="170" spans="1:22"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c r="V170" s="178"/>
    </row>
    <row r="171" spans="1:22"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c r="V171" s="178"/>
    </row>
    <row r="172" spans="1:22"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c r="V172" s="178"/>
    </row>
    <row r="173" spans="1:22"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c r="V173" s="178"/>
    </row>
    <row r="174" spans="1:22"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c r="V174" s="178"/>
    </row>
    <row r="175" spans="1:22"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c r="V175" s="178"/>
    </row>
    <row r="176" spans="1:22"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c r="V176" s="178"/>
    </row>
    <row r="177" spans="1:22"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c r="V177" s="178"/>
    </row>
    <row r="178" spans="1:22"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c r="V178" s="178"/>
    </row>
    <row r="179" spans="1:22"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c r="V179" s="178"/>
    </row>
    <row r="180" spans="1:22"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c r="V180" s="178"/>
    </row>
    <row r="181" spans="1:22"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c r="V181" s="178"/>
    </row>
    <row r="182" spans="1:22"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c r="V182" s="178"/>
    </row>
    <row r="183" spans="1:22"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c r="V183" s="178"/>
    </row>
    <row r="184" spans="1:22"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c r="V184" s="178"/>
    </row>
    <row r="185" spans="1:22"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c r="V185" s="178"/>
    </row>
    <row r="186" spans="1:22"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c r="V186" s="178"/>
    </row>
    <row r="187" spans="1:22"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c r="V187" s="178"/>
    </row>
    <row r="188" spans="1:22"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c r="V188" s="178"/>
    </row>
    <row r="189" spans="1:22"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c r="V189" s="178"/>
    </row>
    <row r="190" spans="1:22"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c r="V190" s="178"/>
    </row>
    <row r="191" spans="1:22"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c r="V191" s="178"/>
    </row>
    <row r="192" spans="1:22"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c r="V192" s="178"/>
    </row>
    <row r="193" spans="1:22"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c r="V193" s="178"/>
    </row>
    <row r="194" spans="1:22"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c r="V194" s="178"/>
    </row>
    <row r="195" spans="1:22"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c r="V195" s="178"/>
    </row>
    <row r="196" spans="1:22"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c r="V196" s="178"/>
    </row>
    <row r="197" spans="1:22"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c r="V197" s="178"/>
    </row>
    <row r="198" spans="1:22"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c r="V198" s="178"/>
    </row>
    <row r="199" spans="1:22"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c r="V199" s="178"/>
    </row>
    <row r="200" spans="1:22"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c r="V200" s="178"/>
    </row>
    <row r="201" spans="1:22"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c r="V201" s="178"/>
    </row>
    <row r="202" spans="1:22"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c r="V202" s="178"/>
    </row>
    <row r="203" spans="1:22"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c r="V203" s="178"/>
    </row>
    <row r="204" spans="1:22"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c r="V204" s="178"/>
    </row>
    <row r="205" spans="1:22"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c r="V205" s="178"/>
    </row>
    <row r="206" spans="1:22"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c r="V206" s="178"/>
    </row>
    <row r="207" spans="1:22"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c r="V207" s="178"/>
    </row>
    <row r="208" spans="1:22"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c r="V208" s="178"/>
    </row>
    <row r="209" spans="1:22"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c r="V209" s="178"/>
    </row>
    <row r="210" spans="1:22"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c r="V210" s="178"/>
    </row>
    <row r="211" spans="1:22"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c r="V211" s="178"/>
    </row>
    <row r="212" spans="1:22"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c r="V212" s="178"/>
    </row>
    <row r="213" spans="1:22"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c r="V213" s="178"/>
    </row>
    <row r="214" spans="1:22"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c r="V214" s="178"/>
    </row>
    <row r="215" spans="1:22"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c r="V215" s="178"/>
    </row>
    <row r="216" spans="1:22"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c r="V216" s="178"/>
    </row>
    <row r="217" spans="1:22"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c r="V217" s="178"/>
    </row>
    <row r="218" spans="1:22"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c r="V218" s="178"/>
    </row>
    <row r="219" spans="1:22"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c r="V219" s="178"/>
    </row>
    <row r="220" spans="1:22"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c r="V220" s="178"/>
    </row>
    <row r="221" spans="1:22"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c r="V221" s="178"/>
    </row>
    <row r="222" spans="1:22"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c r="V222" s="178"/>
    </row>
    <row r="223" spans="1:22"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c r="V223" s="178"/>
    </row>
    <row r="224" spans="1:22"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c r="V224" s="178"/>
    </row>
    <row r="225" spans="1:22"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c r="V225" s="178"/>
    </row>
    <row r="226" spans="1:22"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c r="V226" s="178"/>
    </row>
    <row r="227" spans="1:22"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c r="V227" s="178"/>
    </row>
    <row r="228" spans="1:22"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c r="V228" s="178"/>
    </row>
    <row r="229" spans="1:22"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c r="V229" s="178"/>
    </row>
    <row r="230" spans="1:22"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c r="V230" s="178"/>
    </row>
    <row r="231" spans="1:22"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c r="V231" s="178"/>
    </row>
    <row r="232" spans="1:22"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c r="V232" s="178"/>
    </row>
    <row r="233" spans="1:22"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c r="V233" s="178"/>
    </row>
    <row r="234" spans="1:22"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c r="V234" s="178"/>
    </row>
    <row r="235" spans="1:22"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c r="V235" s="178"/>
    </row>
    <row r="236" spans="1:22"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c r="V236" s="178"/>
    </row>
    <row r="237" spans="1:22"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c r="V237" s="178"/>
    </row>
    <row r="238" spans="1:22"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c r="V238" s="178"/>
    </row>
    <row r="239" spans="1:22"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c r="V239" s="178"/>
    </row>
    <row r="240" spans="1:22"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c r="V240" s="178"/>
    </row>
    <row r="241" spans="1:22"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c r="V241" s="178"/>
    </row>
    <row r="242" spans="1:22"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c r="V242" s="178"/>
    </row>
    <row r="243" spans="1:22"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c r="V243" s="178"/>
    </row>
    <row r="244" spans="1:22"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c r="V244" s="178"/>
    </row>
    <row r="245" spans="1:22"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c r="V245" s="178"/>
    </row>
    <row r="246" spans="1:22"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c r="V246" s="178"/>
    </row>
    <row r="247" spans="1:22"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c r="V247" s="178"/>
    </row>
    <row r="248" spans="1:22"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c r="V248" s="178"/>
    </row>
    <row r="249" spans="1:22"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c r="V249" s="178"/>
    </row>
    <row r="250" spans="1:22"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c r="V250" s="178"/>
    </row>
    <row r="251" spans="1:22"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c r="V251" s="178"/>
    </row>
    <row r="252" spans="1:22"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c r="V252" s="178"/>
    </row>
    <row r="253" spans="1:22"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c r="V253" s="178"/>
    </row>
    <row r="254" spans="1:22"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c r="V254" s="178"/>
    </row>
    <row r="255" spans="1:22"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c r="V255" s="178"/>
    </row>
    <row r="256" spans="1:22"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c r="V256" s="178"/>
    </row>
    <row r="257" spans="1:22"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c r="V257" s="178"/>
    </row>
    <row r="258" spans="1:22"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c r="V258" s="178"/>
    </row>
    <row r="259" spans="1:22"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c r="V259" s="178"/>
    </row>
    <row r="260" spans="1:22"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c r="V260" s="178"/>
    </row>
    <row r="261" spans="1:22"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c r="V261" s="178"/>
    </row>
    <row r="262" spans="1:22"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c r="V262" s="178"/>
    </row>
    <row r="263" spans="1:22"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c r="V263" s="178"/>
    </row>
    <row r="264" spans="1:22"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c r="V264" s="178"/>
    </row>
    <row r="265" spans="1:22"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c r="V265" s="178"/>
    </row>
    <row r="266" spans="1:22"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c r="V266" s="178"/>
    </row>
    <row r="267" spans="1:22"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c r="V267" s="178"/>
    </row>
    <row r="268" spans="1:22"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c r="V268" s="178"/>
    </row>
    <row r="269" spans="1:22"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c r="V269" s="178"/>
    </row>
    <row r="270" spans="1:22"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c r="V270" s="178"/>
    </row>
    <row r="271" spans="1:22"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c r="V271" s="178"/>
    </row>
    <row r="272" spans="1:22"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c r="V272" s="178"/>
    </row>
    <row r="273" spans="1:22"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c r="V273" s="178"/>
    </row>
    <row r="274" spans="1:22"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c r="V274" s="178"/>
    </row>
    <row r="275" spans="1:22"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c r="V275" s="178"/>
    </row>
    <row r="276" spans="1:22"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c r="V276" s="178"/>
    </row>
    <row r="277" spans="1:22"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c r="V277" s="178"/>
    </row>
    <row r="278" spans="1:22"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c r="V278" s="178"/>
    </row>
    <row r="279" spans="1:22"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c r="V279" s="178"/>
    </row>
    <row r="280" spans="1:22"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c r="V280" s="178"/>
    </row>
    <row r="281" spans="1:22"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c r="V281" s="178"/>
    </row>
    <row r="282" spans="1:22"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c r="V282" s="178"/>
    </row>
    <row r="283" spans="1:22"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c r="V283" s="178"/>
    </row>
    <row r="284" spans="1:22"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c r="V284" s="178"/>
    </row>
    <row r="285" spans="1:22"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c r="V285" s="178"/>
    </row>
    <row r="286" spans="1:22"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c r="V286" s="178"/>
    </row>
    <row r="287" spans="1:22"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c r="V287" s="178"/>
    </row>
    <row r="288" spans="1:22"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c r="V288" s="178"/>
    </row>
    <row r="289" spans="1:22"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c r="V289" s="178"/>
    </row>
    <row r="290" spans="1:22"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c r="V290" s="178"/>
    </row>
    <row r="291" spans="1:22"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c r="V291" s="178"/>
    </row>
    <row r="292" spans="1:22"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c r="V292" s="178"/>
    </row>
    <row r="293" spans="1:22"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c r="V293" s="178"/>
    </row>
    <row r="294" spans="1:22"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c r="V294" s="178"/>
    </row>
    <row r="295" spans="1:22"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c r="V295" s="178"/>
    </row>
    <row r="296" spans="1:22"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c r="V296" s="178"/>
    </row>
    <row r="297" spans="1:22"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c r="V297" s="178"/>
    </row>
    <row r="298" spans="1:22"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c r="V298" s="178"/>
    </row>
    <row r="299" spans="1:22"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c r="V299" s="178"/>
    </row>
    <row r="300" spans="1:22"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c r="V300" s="178"/>
    </row>
    <row r="301" spans="1:22"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c r="V301" s="178"/>
    </row>
    <row r="302" spans="1:22"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c r="V302" s="178"/>
    </row>
    <row r="303" spans="1:22"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c r="V303" s="178"/>
    </row>
    <row r="304" spans="1:22"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c r="V304" s="178"/>
    </row>
    <row r="305" spans="1:22"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c r="V305" s="178"/>
    </row>
    <row r="306" spans="1:22"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c r="V306" s="178"/>
    </row>
    <row r="307" spans="1:22"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c r="V307" s="178"/>
    </row>
    <row r="308" spans="1:22"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c r="V308" s="178"/>
    </row>
    <row r="309" spans="1:22"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c r="V309" s="178"/>
    </row>
    <row r="310" spans="1:22"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c r="V310" s="178"/>
    </row>
    <row r="311" spans="1:22"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c r="V311" s="178"/>
    </row>
    <row r="312" spans="1:22"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c r="V312" s="178"/>
    </row>
    <row r="313" spans="1:22"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c r="V313" s="178"/>
    </row>
    <row r="314" spans="1:22"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c r="V314" s="178"/>
    </row>
    <row r="315" spans="1:22"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c r="V315" s="178"/>
    </row>
    <row r="316" spans="1:22"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c r="V316" s="178"/>
    </row>
    <row r="317" spans="1:22"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c r="V317" s="178"/>
    </row>
    <row r="318" spans="1:22"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c r="V318" s="178"/>
    </row>
    <row r="319" spans="1:22"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c r="V319" s="178"/>
    </row>
    <row r="320" spans="1:22"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c r="V320" s="178"/>
    </row>
    <row r="321" spans="1:22"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c r="V321" s="178"/>
    </row>
    <row r="322" spans="1:22"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c r="V322" s="178"/>
    </row>
    <row r="323" spans="1:22"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c r="V323" s="178"/>
    </row>
    <row r="324" spans="1:22"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c r="V324" s="178"/>
    </row>
    <row r="325" spans="1:22"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c r="V325" s="178"/>
    </row>
    <row r="326" spans="1:22"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c r="V326" s="178"/>
    </row>
    <row r="327" spans="1:22"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c r="V327" s="178"/>
    </row>
    <row r="328" spans="1:22"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c r="V328" s="178"/>
    </row>
    <row r="329" spans="1:22"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c r="V329" s="178"/>
    </row>
    <row r="330" spans="1:22"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c r="V330" s="178"/>
    </row>
    <row r="331" spans="1:22"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c r="V331" s="178"/>
    </row>
    <row r="332" spans="1:22"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c r="V332" s="178"/>
    </row>
    <row r="333" spans="1:22"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c r="V333" s="178"/>
    </row>
    <row r="334" spans="1:22"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c r="V334" s="178"/>
    </row>
    <row r="335" spans="1:22"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c r="V335" s="178"/>
    </row>
    <row r="336" spans="1:22"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c r="V336" s="178"/>
    </row>
    <row r="337" spans="1:22"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c r="V337" s="178"/>
    </row>
    <row r="338" spans="1:22"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c r="V338" s="17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40" activePane="bottomRight" state="frozen"/>
      <selection activeCell="A20" sqref="A20"/>
      <selection pane="topRight" activeCell="E20" sqref="E20"/>
      <selection pane="bottomLeft" activeCell="A25" sqref="A25"/>
      <selection pane="bottomRight" activeCell="W53" sqref="W53"/>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9.5703125" style="59" customWidth="1"/>
    <col min="12" max="27" width="9.5703125" style="58" customWidth="1"/>
    <col min="28" max="28" width="13.140625" style="58" customWidth="1"/>
    <col min="29" max="29" width="24.85546875" style="58" customWidth="1"/>
    <col min="30" max="16384" width="9.140625" style="58"/>
  </cols>
  <sheetData>
    <row r="1" spans="1:29" ht="18.75" x14ac:dyDescent="0.25">
      <c r="A1" s="59"/>
      <c r="B1" s="59"/>
      <c r="C1" s="59"/>
      <c r="D1" s="59"/>
      <c r="E1" s="59"/>
      <c r="F1" s="59"/>
      <c r="L1" s="59"/>
      <c r="M1" s="59"/>
      <c r="AC1" s="192" t="s">
        <v>66</v>
      </c>
    </row>
    <row r="2" spans="1:29" ht="18.75" x14ac:dyDescent="0.3">
      <c r="A2" s="59"/>
      <c r="B2" s="59"/>
      <c r="C2" s="59"/>
      <c r="D2" s="59"/>
      <c r="E2" s="59"/>
      <c r="F2" s="59"/>
      <c r="L2" s="59"/>
      <c r="M2" s="59"/>
      <c r="AC2" s="186" t="s">
        <v>8</v>
      </c>
    </row>
    <row r="3" spans="1:29" ht="18.75" x14ac:dyDescent="0.3">
      <c r="A3" s="59"/>
      <c r="B3" s="59"/>
      <c r="C3" s="59"/>
      <c r="D3" s="59"/>
      <c r="E3" s="59"/>
      <c r="F3" s="59"/>
      <c r="L3" s="59"/>
      <c r="M3" s="59"/>
      <c r="AC3" s="186" t="s">
        <v>65</v>
      </c>
    </row>
    <row r="4" spans="1:29" ht="18.75" customHeight="1" x14ac:dyDescent="0.25">
      <c r="A4" s="354" t="str">
        <f>'1. паспорт местоположение'!A5:C5</f>
        <v>Год раскрытия информации: 2019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row>
    <row r="5" spans="1:29" ht="18.75" x14ac:dyDescent="0.3">
      <c r="A5" s="59"/>
      <c r="B5" s="59"/>
      <c r="C5" s="59"/>
      <c r="D5" s="59"/>
      <c r="E5" s="59"/>
      <c r="F5" s="59"/>
      <c r="L5" s="59"/>
      <c r="M5" s="59"/>
      <c r="AC5" s="186"/>
    </row>
    <row r="6" spans="1:29"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42"/>
      <c r="B7" s="142"/>
      <c r="C7" s="142"/>
      <c r="D7" s="142"/>
      <c r="E7" s="142"/>
      <c r="F7" s="142"/>
      <c r="G7" s="142"/>
      <c r="H7" s="142"/>
      <c r="I7" s="142"/>
      <c r="J7" s="76"/>
      <c r="K7" s="76"/>
      <c r="L7" s="76"/>
      <c r="M7" s="76"/>
      <c r="N7" s="76"/>
      <c r="O7" s="76"/>
      <c r="P7" s="76"/>
      <c r="Q7" s="76"/>
      <c r="R7" s="76"/>
      <c r="S7" s="76"/>
      <c r="T7" s="76"/>
      <c r="U7" s="76"/>
      <c r="V7" s="76"/>
      <c r="W7" s="76"/>
      <c r="X7" s="76"/>
      <c r="Y7" s="76"/>
      <c r="Z7" s="76"/>
      <c r="AA7" s="76"/>
      <c r="AB7" s="76"/>
      <c r="AC7" s="76"/>
    </row>
    <row r="8" spans="1:29" x14ac:dyDescent="0.25">
      <c r="A8" s="364" t="str">
        <f>'1. паспорт местоположение'!A9:C9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42"/>
      <c r="B10" s="142"/>
      <c r="C10" s="142"/>
      <c r="D10" s="142"/>
      <c r="E10" s="142"/>
      <c r="F10" s="142"/>
      <c r="G10" s="142"/>
      <c r="H10" s="142"/>
      <c r="I10" s="142"/>
      <c r="J10" s="76"/>
      <c r="K10" s="76"/>
      <c r="L10" s="76"/>
      <c r="M10" s="76"/>
      <c r="N10" s="76"/>
      <c r="O10" s="76"/>
      <c r="P10" s="76"/>
      <c r="Q10" s="76"/>
      <c r="R10" s="76"/>
      <c r="S10" s="76"/>
      <c r="T10" s="76"/>
      <c r="U10" s="76"/>
      <c r="V10" s="76"/>
      <c r="W10" s="76"/>
      <c r="X10" s="76"/>
      <c r="Y10" s="76"/>
      <c r="Z10" s="76"/>
      <c r="AA10" s="76"/>
      <c r="AB10" s="76"/>
      <c r="AC10" s="76"/>
    </row>
    <row r="11" spans="1:29" x14ac:dyDescent="0.25">
      <c r="A11" s="364" t="str">
        <f>'1. паспорт местоположение'!A12:C12</f>
        <v>J_140-109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0"/>
      <c r="B13" s="10"/>
      <c r="C13" s="10"/>
      <c r="D13" s="10"/>
      <c r="E13" s="10"/>
      <c r="F13" s="10"/>
      <c r="G13" s="10"/>
      <c r="H13" s="10"/>
      <c r="I13" s="10"/>
      <c r="J13" s="75"/>
      <c r="K13" s="75"/>
      <c r="L13" s="75"/>
      <c r="M13" s="75"/>
      <c r="N13" s="75"/>
      <c r="O13" s="75"/>
      <c r="P13" s="75"/>
      <c r="Q13" s="75"/>
      <c r="R13" s="75"/>
      <c r="S13" s="75"/>
      <c r="T13" s="75"/>
      <c r="U13" s="75"/>
      <c r="V13" s="75"/>
      <c r="W13" s="75"/>
      <c r="X13" s="75"/>
      <c r="Y13" s="75"/>
      <c r="Z13" s="75"/>
      <c r="AA13" s="75"/>
      <c r="AB13" s="75"/>
      <c r="AC13" s="75"/>
    </row>
    <row r="14" spans="1:29" x14ac:dyDescent="0.25">
      <c r="A14" s="364" t="str">
        <f>'1. паспорт местоположение'!A15</f>
        <v>Приобретение электросетевого комплекса ул.1-ая Большая окружная, с/т г.Калининград (дог.безв 3509 от 10.04.2019 гр. Щербанев В.М.)</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row>
    <row r="17" spans="1:32" x14ac:dyDescent="0.25">
      <c r="A17" s="59"/>
      <c r="L17" s="59"/>
      <c r="M17" s="59"/>
      <c r="N17" s="59"/>
      <c r="O17" s="59"/>
      <c r="P17" s="59"/>
      <c r="Q17" s="59"/>
      <c r="R17" s="59"/>
      <c r="S17" s="59"/>
      <c r="T17" s="59"/>
      <c r="U17" s="59"/>
      <c r="V17" s="59"/>
      <c r="W17" s="59"/>
      <c r="X17" s="59"/>
      <c r="Y17" s="59"/>
      <c r="Z17" s="59"/>
      <c r="AA17" s="59"/>
      <c r="AB17" s="59"/>
    </row>
    <row r="18" spans="1:32" x14ac:dyDescent="0.25">
      <c r="A18" s="425" t="s">
        <v>473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x14ac:dyDescent="0.25">
      <c r="A19" s="59"/>
      <c r="B19" s="59"/>
      <c r="C19" s="59"/>
      <c r="D19" s="59"/>
      <c r="E19" s="59"/>
      <c r="F19" s="59"/>
      <c r="L19" s="59"/>
      <c r="M19" s="59"/>
      <c r="N19" s="59"/>
      <c r="O19" s="59"/>
      <c r="P19" s="59"/>
      <c r="Q19" s="59"/>
      <c r="R19" s="59"/>
      <c r="S19" s="59"/>
      <c r="T19" s="59"/>
      <c r="U19" s="59"/>
      <c r="V19" s="59"/>
      <c r="W19" s="59"/>
      <c r="X19" s="59"/>
      <c r="Y19" s="59"/>
      <c r="Z19" s="59"/>
      <c r="AA19" s="59"/>
      <c r="AB19" s="59"/>
    </row>
    <row r="20" spans="1:32" ht="33" customHeight="1" x14ac:dyDescent="0.25">
      <c r="A20" s="426" t="s">
        <v>182</v>
      </c>
      <c r="B20" s="426" t="s">
        <v>181</v>
      </c>
      <c r="C20" s="413" t="s">
        <v>180</v>
      </c>
      <c r="D20" s="413"/>
      <c r="E20" s="428" t="s">
        <v>179</v>
      </c>
      <c r="F20" s="428"/>
      <c r="G20" s="429" t="s">
        <v>516</v>
      </c>
      <c r="H20" s="432" t="s">
        <v>517</v>
      </c>
      <c r="I20" s="433"/>
      <c r="J20" s="433"/>
      <c r="K20" s="433"/>
      <c r="L20" s="432" t="s">
        <v>518</v>
      </c>
      <c r="M20" s="433"/>
      <c r="N20" s="433"/>
      <c r="O20" s="433"/>
      <c r="P20" s="432" t="s">
        <v>519</v>
      </c>
      <c r="Q20" s="433"/>
      <c r="R20" s="433"/>
      <c r="S20" s="433"/>
      <c r="T20" s="432" t="s">
        <v>520</v>
      </c>
      <c r="U20" s="433"/>
      <c r="V20" s="433"/>
      <c r="W20" s="433"/>
      <c r="X20" s="432" t="s">
        <v>521</v>
      </c>
      <c r="Y20" s="433"/>
      <c r="Z20" s="433"/>
      <c r="AA20" s="433"/>
      <c r="AB20" s="434" t="s">
        <v>178</v>
      </c>
      <c r="AC20" s="435"/>
      <c r="AD20" s="74"/>
      <c r="AE20" s="74"/>
      <c r="AF20" s="74"/>
    </row>
    <row r="21" spans="1:32" ht="99.75" customHeight="1" x14ac:dyDescent="0.25">
      <c r="A21" s="427"/>
      <c r="B21" s="427"/>
      <c r="C21" s="413"/>
      <c r="D21" s="413"/>
      <c r="E21" s="428"/>
      <c r="F21" s="428"/>
      <c r="G21" s="430"/>
      <c r="H21" s="438" t="s">
        <v>2</v>
      </c>
      <c r="I21" s="438"/>
      <c r="J21" s="438" t="s">
        <v>522</v>
      </c>
      <c r="K21" s="438"/>
      <c r="L21" s="438" t="s">
        <v>2</v>
      </c>
      <c r="M21" s="438"/>
      <c r="N21" s="438" t="s">
        <v>522</v>
      </c>
      <c r="O21" s="438"/>
      <c r="P21" s="438" t="s">
        <v>2</v>
      </c>
      <c r="Q21" s="438"/>
      <c r="R21" s="438" t="s">
        <v>522</v>
      </c>
      <c r="S21" s="438"/>
      <c r="T21" s="438" t="s">
        <v>2</v>
      </c>
      <c r="U21" s="438"/>
      <c r="V21" s="438" t="s">
        <v>522</v>
      </c>
      <c r="W21" s="438"/>
      <c r="X21" s="438" t="s">
        <v>2</v>
      </c>
      <c r="Y21" s="438"/>
      <c r="Z21" s="438" t="s">
        <v>522</v>
      </c>
      <c r="AA21" s="438"/>
      <c r="AB21" s="436"/>
      <c r="AC21" s="437"/>
    </row>
    <row r="22" spans="1:32" ht="89.25" customHeight="1" x14ac:dyDescent="0.25">
      <c r="A22" s="420"/>
      <c r="B22" s="420"/>
      <c r="C22" s="342" t="s">
        <v>2</v>
      </c>
      <c r="D22" s="342" t="s">
        <v>177</v>
      </c>
      <c r="E22" s="224" t="s">
        <v>523</v>
      </c>
      <c r="F22" s="225" t="s">
        <v>571</v>
      </c>
      <c r="G22" s="431"/>
      <c r="H22" s="227" t="s">
        <v>454</v>
      </c>
      <c r="I22" s="227" t="s">
        <v>455</v>
      </c>
      <c r="J22" s="227" t="s">
        <v>454</v>
      </c>
      <c r="K22" s="227" t="s">
        <v>455</v>
      </c>
      <c r="L22" s="227" t="s">
        <v>454</v>
      </c>
      <c r="M22" s="227" t="s">
        <v>455</v>
      </c>
      <c r="N22" s="227" t="s">
        <v>454</v>
      </c>
      <c r="O22" s="227" t="s">
        <v>455</v>
      </c>
      <c r="P22" s="227" t="s">
        <v>454</v>
      </c>
      <c r="Q22" s="227" t="s">
        <v>455</v>
      </c>
      <c r="R22" s="227" t="s">
        <v>454</v>
      </c>
      <c r="S22" s="227" t="s">
        <v>455</v>
      </c>
      <c r="T22" s="227" t="s">
        <v>454</v>
      </c>
      <c r="U22" s="227" t="s">
        <v>455</v>
      </c>
      <c r="V22" s="227" t="s">
        <v>454</v>
      </c>
      <c r="W22" s="227" t="s">
        <v>455</v>
      </c>
      <c r="X22" s="227" t="s">
        <v>454</v>
      </c>
      <c r="Y22" s="227" t="s">
        <v>455</v>
      </c>
      <c r="Z22" s="227" t="s">
        <v>454</v>
      </c>
      <c r="AA22" s="227" t="s">
        <v>455</v>
      </c>
      <c r="AB22" s="342" t="s">
        <v>2</v>
      </c>
      <c r="AC22" s="342" t="s">
        <v>9</v>
      </c>
    </row>
    <row r="23" spans="1:32" ht="19.5" customHeight="1" x14ac:dyDescent="0.25">
      <c r="A23" s="341">
        <v>1</v>
      </c>
      <c r="B23" s="341">
        <v>2</v>
      </c>
      <c r="C23" s="341">
        <f t="shared" ref="C23:AC23" si="0">B23+1</f>
        <v>3</v>
      </c>
      <c r="D23" s="341">
        <f t="shared" si="0"/>
        <v>4</v>
      </c>
      <c r="E23" s="341">
        <f t="shared" si="0"/>
        <v>5</v>
      </c>
      <c r="F23" s="341">
        <f t="shared" si="0"/>
        <v>6</v>
      </c>
      <c r="G23" s="341">
        <f t="shared" si="0"/>
        <v>7</v>
      </c>
      <c r="H23" s="341">
        <f t="shared" si="0"/>
        <v>8</v>
      </c>
      <c r="I23" s="341">
        <f t="shared" si="0"/>
        <v>9</v>
      </c>
      <c r="J23" s="341">
        <f t="shared" si="0"/>
        <v>10</v>
      </c>
      <c r="K23" s="341">
        <f t="shared" si="0"/>
        <v>11</v>
      </c>
      <c r="L23" s="341">
        <f t="shared" si="0"/>
        <v>12</v>
      </c>
      <c r="M23" s="341">
        <f t="shared" si="0"/>
        <v>13</v>
      </c>
      <c r="N23" s="341">
        <f t="shared" si="0"/>
        <v>14</v>
      </c>
      <c r="O23" s="341">
        <f t="shared" si="0"/>
        <v>15</v>
      </c>
      <c r="P23" s="341">
        <f t="shared" si="0"/>
        <v>16</v>
      </c>
      <c r="Q23" s="341">
        <f t="shared" si="0"/>
        <v>17</v>
      </c>
      <c r="R23" s="341">
        <f t="shared" si="0"/>
        <v>18</v>
      </c>
      <c r="S23" s="341">
        <f t="shared" si="0"/>
        <v>19</v>
      </c>
      <c r="T23" s="341">
        <f t="shared" si="0"/>
        <v>20</v>
      </c>
      <c r="U23" s="341">
        <f t="shared" si="0"/>
        <v>21</v>
      </c>
      <c r="V23" s="341">
        <f t="shared" si="0"/>
        <v>22</v>
      </c>
      <c r="W23" s="341">
        <f t="shared" si="0"/>
        <v>23</v>
      </c>
      <c r="X23" s="341">
        <f t="shared" si="0"/>
        <v>24</v>
      </c>
      <c r="Y23" s="341">
        <f t="shared" si="0"/>
        <v>25</v>
      </c>
      <c r="Z23" s="341">
        <f t="shared" si="0"/>
        <v>26</v>
      </c>
      <c r="AA23" s="341">
        <f t="shared" si="0"/>
        <v>27</v>
      </c>
      <c r="AB23" s="341">
        <f>AA23+1</f>
        <v>28</v>
      </c>
      <c r="AC23" s="341">
        <f t="shared" si="0"/>
        <v>29</v>
      </c>
    </row>
    <row r="24" spans="1:32" ht="47.25" customHeight="1" x14ac:dyDescent="0.25">
      <c r="A24" s="72">
        <v>1</v>
      </c>
      <c r="B24" s="71" t="s">
        <v>176</v>
      </c>
      <c r="C24" s="213">
        <v>0</v>
      </c>
      <c r="D24" s="213">
        <v>0</v>
      </c>
      <c r="E24" s="226">
        <v>0</v>
      </c>
      <c r="F24" s="226">
        <v>0</v>
      </c>
      <c r="G24" s="213">
        <v>0</v>
      </c>
      <c r="H24" s="213">
        <f t="shared" ref="H24:Q24" si="1">SUM(H25:H29)</f>
        <v>0</v>
      </c>
      <c r="I24" s="213">
        <f t="shared" si="1"/>
        <v>0</v>
      </c>
      <c r="J24" s="213">
        <f t="shared" si="1"/>
        <v>0</v>
      </c>
      <c r="K24" s="213">
        <f t="shared" si="1"/>
        <v>0</v>
      </c>
      <c r="L24" s="213">
        <f t="shared" si="1"/>
        <v>0</v>
      </c>
      <c r="M24" s="213">
        <f t="shared" si="1"/>
        <v>0</v>
      </c>
      <c r="N24" s="213">
        <f t="shared" si="1"/>
        <v>0</v>
      </c>
      <c r="O24" s="213">
        <f t="shared" si="1"/>
        <v>0</v>
      </c>
      <c r="P24" s="213">
        <f t="shared" si="1"/>
        <v>0</v>
      </c>
      <c r="Q24" s="213">
        <f t="shared" si="1"/>
        <v>0</v>
      </c>
      <c r="R24" s="213">
        <f>SUM(R25:R29)</f>
        <v>0</v>
      </c>
      <c r="S24" s="213">
        <f t="shared" ref="S24:AA24" si="2">SUM(S25:S29)</f>
        <v>0</v>
      </c>
      <c r="T24" s="213">
        <v>0</v>
      </c>
      <c r="U24" s="213">
        <f t="shared" si="2"/>
        <v>0</v>
      </c>
      <c r="V24" s="213">
        <f t="shared" si="2"/>
        <v>0</v>
      </c>
      <c r="W24" s="213">
        <f t="shared" ref="W24" si="3">SUM(W25:W29)</f>
        <v>0</v>
      </c>
      <c r="X24" s="213">
        <f t="shared" si="2"/>
        <v>0</v>
      </c>
      <c r="Y24" s="213">
        <f t="shared" si="2"/>
        <v>0</v>
      </c>
      <c r="Z24" s="213">
        <f t="shared" si="2"/>
        <v>0</v>
      </c>
      <c r="AA24" s="213">
        <f t="shared" si="2"/>
        <v>0</v>
      </c>
      <c r="AB24" s="213">
        <f>H24+L24+P24+T24+X24</f>
        <v>0</v>
      </c>
      <c r="AC24" s="213">
        <f>J24+N24+R24+V24+Z24</f>
        <v>0</v>
      </c>
    </row>
    <row r="25" spans="1:32" ht="24" customHeight="1" x14ac:dyDescent="0.25">
      <c r="A25" s="69" t="s">
        <v>175</v>
      </c>
      <c r="B25" s="46" t="s">
        <v>174</v>
      </c>
      <c r="C25" s="213">
        <v>0</v>
      </c>
      <c r="D25" s="213">
        <v>0</v>
      </c>
      <c r="E25" s="226">
        <v>0</v>
      </c>
      <c r="F25" s="226">
        <v>0</v>
      </c>
      <c r="G25" s="214">
        <v>0</v>
      </c>
      <c r="H25" s="214">
        <v>0</v>
      </c>
      <c r="I25" s="214">
        <v>0</v>
      </c>
      <c r="J25" s="214">
        <v>0</v>
      </c>
      <c r="K25" s="214">
        <v>0</v>
      </c>
      <c r="L25" s="214">
        <v>0</v>
      </c>
      <c r="M25" s="214">
        <v>0</v>
      </c>
      <c r="N25" s="214">
        <v>0</v>
      </c>
      <c r="O25" s="214">
        <v>0</v>
      </c>
      <c r="P25" s="214">
        <v>0</v>
      </c>
      <c r="Q25" s="214">
        <v>0</v>
      </c>
      <c r="R25" s="214">
        <v>0</v>
      </c>
      <c r="S25" s="214">
        <v>0</v>
      </c>
      <c r="T25" s="214">
        <v>0</v>
      </c>
      <c r="U25" s="214">
        <v>0</v>
      </c>
      <c r="V25" s="214">
        <v>0</v>
      </c>
      <c r="W25" s="214">
        <v>0</v>
      </c>
      <c r="X25" s="214">
        <v>0</v>
      </c>
      <c r="Y25" s="214">
        <v>0</v>
      </c>
      <c r="Z25" s="214">
        <v>0</v>
      </c>
      <c r="AA25" s="214">
        <v>0</v>
      </c>
      <c r="AB25" s="213">
        <f t="shared" ref="AB25:AB64" si="4">H25+L25+P25+T25+X25</f>
        <v>0</v>
      </c>
      <c r="AC25" s="213">
        <f t="shared" ref="AC25:AC64" si="5">J25+N25+R25+V25+Z25</f>
        <v>0</v>
      </c>
    </row>
    <row r="26" spans="1:32" x14ac:dyDescent="0.25">
      <c r="A26" s="69" t="s">
        <v>173</v>
      </c>
      <c r="B26" s="46" t="s">
        <v>172</v>
      </c>
      <c r="C26" s="213">
        <v>0</v>
      </c>
      <c r="D26" s="213">
        <v>0</v>
      </c>
      <c r="E26" s="226">
        <v>0</v>
      </c>
      <c r="F26" s="226">
        <v>0</v>
      </c>
      <c r="G26" s="214">
        <v>0</v>
      </c>
      <c r="H26" s="214">
        <v>0</v>
      </c>
      <c r="I26" s="214">
        <v>0</v>
      </c>
      <c r="J26" s="214">
        <v>0</v>
      </c>
      <c r="K26" s="214">
        <v>0</v>
      </c>
      <c r="L26" s="214">
        <v>0</v>
      </c>
      <c r="M26" s="214">
        <v>0</v>
      </c>
      <c r="N26" s="214">
        <v>0</v>
      </c>
      <c r="O26" s="214">
        <v>0</v>
      </c>
      <c r="P26" s="214">
        <v>0</v>
      </c>
      <c r="Q26" s="214">
        <v>0</v>
      </c>
      <c r="R26" s="214">
        <v>0</v>
      </c>
      <c r="S26" s="214">
        <v>0</v>
      </c>
      <c r="T26" s="214">
        <v>0</v>
      </c>
      <c r="U26" s="214">
        <v>0</v>
      </c>
      <c r="V26" s="214">
        <v>0</v>
      </c>
      <c r="W26" s="214">
        <v>0</v>
      </c>
      <c r="X26" s="214">
        <v>0</v>
      </c>
      <c r="Y26" s="214">
        <v>0</v>
      </c>
      <c r="Z26" s="214">
        <v>0</v>
      </c>
      <c r="AA26" s="214">
        <v>0</v>
      </c>
      <c r="AB26" s="213">
        <f t="shared" si="4"/>
        <v>0</v>
      </c>
      <c r="AC26" s="213">
        <f t="shared" si="5"/>
        <v>0</v>
      </c>
    </row>
    <row r="27" spans="1:32" ht="31.5" x14ac:dyDescent="0.25">
      <c r="A27" s="69" t="s">
        <v>171</v>
      </c>
      <c r="B27" s="46" t="s">
        <v>410</v>
      </c>
      <c r="C27" s="213">
        <v>0</v>
      </c>
      <c r="D27" s="213">
        <v>0</v>
      </c>
      <c r="E27" s="226">
        <v>0</v>
      </c>
      <c r="F27" s="226">
        <v>0</v>
      </c>
      <c r="G27" s="214">
        <v>0</v>
      </c>
      <c r="H27" s="214">
        <v>0</v>
      </c>
      <c r="I27" s="214">
        <v>0</v>
      </c>
      <c r="J27" s="214">
        <v>0</v>
      </c>
      <c r="K27" s="214">
        <v>0</v>
      </c>
      <c r="L27" s="214">
        <v>0</v>
      </c>
      <c r="M27" s="214">
        <v>0</v>
      </c>
      <c r="N27" s="214">
        <v>0</v>
      </c>
      <c r="O27" s="214">
        <v>0</v>
      </c>
      <c r="P27" s="214">
        <v>0</v>
      </c>
      <c r="Q27" s="214">
        <v>0</v>
      </c>
      <c r="R27" s="214">
        <v>0</v>
      </c>
      <c r="S27" s="214">
        <v>0</v>
      </c>
      <c r="T27" s="214">
        <v>0</v>
      </c>
      <c r="U27" s="214">
        <v>0</v>
      </c>
      <c r="V27" s="214">
        <f>V30</f>
        <v>0</v>
      </c>
      <c r="W27" s="214">
        <f>W30</f>
        <v>0</v>
      </c>
      <c r="X27" s="214">
        <v>0</v>
      </c>
      <c r="Y27" s="214">
        <v>0</v>
      </c>
      <c r="Z27" s="214">
        <v>0</v>
      </c>
      <c r="AA27" s="214">
        <v>0</v>
      </c>
      <c r="AB27" s="213">
        <f t="shared" si="4"/>
        <v>0</v>
      </c>
      <c r="AC27" s="213">
        <f t="shared" si="5"/>
        <v>0</v>
      </c>
    </row>
    <row r="28" spans="1:32" x14ac:dyDescent="0.25">
      <c r="A28" s="69" t="s">
        <v>170</v>
      </c>
      <c r="B28" s="46" t="s">
        <v>169</v>
      </c>
      <c r="C28" s="213">
        <v>0</v>
      </c>
      <c r="D28" s="213">
        <v>0</v>
      </c>
      <c r="E28" s="226">
        <v>0</v>
      </c>
      <c r="F28" s="226">
        <v>0</v>
      </c>
      <c r="G28" s="214">
        <v>0</v>
      </c>
      <c r="H28" s="214">
        <v>0</v>
      </c>
      <c r="I28" s="214">
        <v>0</v>
      </c>
      <c r="J28" s="214">
        <v>0</v>
      </c>
      <c r="K28" s="214">
        <v>0</v>
      </c>
      <c r="L28" s="214">
        <v>0</v>
      </c>
      <c r="M28" s="214">
        <v>0</v>
      </c>
      <c r="N28" s="214">
        <v>0</v>
      </c>
      <c r="O28" s="214">
        <f>N28</f>
        <v>0</v>
      </c>
      <c r="P28" s="214">
        <v>0</v>
      </c>
      <c r="Q28" s="214">
        <v>0</v>
      </c>
      <c r="R28" s="214">
        <v>0</v>
      </c>
      <c r="S28" s="214">
        <v>0</v>
      </c>
      <c r="T28" s="214">
        <v>0</v>
      </c>
      <c r="U28" s="214">
        <v>0</v>
      </c>
      <c r="V28" s="214">
        <v>0</v>
      </c>
      <c r="W28" s="214">
        <v>0</v>
      </c>
      <c r="X28" s="214">
        <v>0</v>
      </c>
      <c r="Y28" s="214">
        <v>0</v>
      </c>
      <c r="Z28" s="214">
        <v>0</v>
      </c>
      <c r="AA28" s="214">
        <v>0</v>
      </c>
      <c r="AB28" s="213">
        <f t="shared" si="4"/>
        <v>0</v>
      </c>
      <c r="AC28" s="213">
        <f t="shared" si="5"/>
        <v>0</v>
      </c>
    </row>
    <row r="29" spans="1:32" x14ac:dyDescent="0.25">
      <c r="A29" s="69" t="s">
        <v>168</v>
      </c>
      <c r="B29" s="73" t="s">
        <v>167</v>
      </c>
      <c r="C29" s="213">
        <v>0</v>
      </c>
      <c r="D29" s="213">
        <v>0</v>
      </c>
      <c r="E29" s="226">
        <v>0</v>
      </c>
      <c r="F29" s="226">
        <v>0</v>
      </c>
      <c r="G29" s="214">
        <v>0</v>
      </c>
      <c r="H29" s="214">
        <v>0</v>
      </c>
      <c r="I29" s="214">
        <v>0</v>
      </c>
      <c r="J29" s="214">
        <v>0</v>
      </c>
      <c r="K29" s="214">
        <v>0</v>
      </c>
      <c r="L29" s="214">
        <v>0</v>
      </c>
      <c r="M29" s="214">
        <v>0</v>
      </c>
      <c r="N29" s="214">
        <v>0</v>
      </c>
      <c r="O29" s="214">
        <v>0</v>
      </c>
      <c r="P29" s="214">
        <v>0</v>
      </c>
      <c r="Q29" s="214">
        <v>0</v>
      </c>
      <c r="R29" s="214">
        <v>0</v>
      </c>
      <c r="S29" s="214">
        <v>0</v>
      </c>
      <c r="T29" s="214">
        <v>0</v>
      </c>
      <c r="U29" s="214">
        <v>0</v>
      </c>
      <c r="V29" s="214">
        <v>0</v>
      </c>
      <c r="W29" s="214">
        <v>0</v>
      </c>
      <c r="X29" s="214">
        <v>0</v>
      </c>
      <c r="Y29" s="214">
        <v>0</v>
      </c>
      <c r="Z29" s="214">
        <v>0</v>
      </c>
      <c r="AA29" s="214">
        <v>0</v>
      </c>
      <c r="AB29" s="213">
        <f t="shared" si="4"/>
        <v>0</v>
      </c>
      <c r="AC29" s="213">
        <f t="shared" si="5"/>
        <v>0</v>
      </c>
    </row>
    <row r="30" spans="1:32" ht="47.25" x14ac:dyDescent="0.25">
      <c r="A30" s="72" t="s">
        <v>61</v>
      </c>
      <c r="B30" s="71" t="s">
        <v>166</v>
      </c>
      <c r="C30" s="213">
        <v>0</v>
      </c>
      <c r="D30" s="213">
        <v>0</v>
      </c>
      <c r="E30" s="226">
        <v>0</v>
      </c>
      <c r="F30" s="226">
        <v>0</v>
      </c>
      <c r="G30" s="213">
        <v>0</v>
      </c>
      <c r="H30" s="213">
        <f>SUM(H31:H34)</f>
        <v>0</v>
      </c>
      <c r="I30" s="213">
        <f t="shared" ref="I30:AA30" si="6">SUM(I31:I34)</f>
        <v>0</v>
      </c>
      <c r="J30" s="213">
        <f t="shared" si="6"/>
        <v>0</v>
      </c>
      <c r="K30" s="213">
        <f t="shared" si="6"/>
        <v>0</v>
      </c>
      <c r="L30" s="213">
        <f t="shared" si="6"/>
        <v>0</v>
      </c>
      <c r="M30" s="213">
        <f t="shared" si="6"/>
        <v>0</v>
      </c>
      <c r="N30" s="213">
        <f t="shared" si="6"/>
        <v>0</v>
      </c>
      <c r="O30" s="213">
        <f t="shared" si="6"/>
        <v>0</v>
      </c>
      <c r="P30" s="213">
        <f t="shared" si="6"/>
        <v>0</v>
      </c>
      <c r="Q30" s="213">
        <f t="shared" si="6"/>
        <v>0</v>
      </c>
      <c r="R30" s="213">
        <f t="shared" si="6"/>
        <v>0</v>
      </c>
      <c r="S30" s="213">
        <f t="shared" si="6"/>
        <v>0</v>
      </c>
      <c r="T30" s="213">
        <v>0</v>
      </c>
      <c r="U30" s="213">
        <f t="shared" si="6"/>
        <v>0</v>
      </c>
      <c r="V30" s="213">
        <f t="shared" si="6"/>
        <v>0</v>
      </c>
      <c r="W30" s="213">
        <f t="shared" ref="W30" si="7">SUM(W31:W34)</f>
        <v>0</v>
      </c>
      <c r="X30" s="213">
        <f t="shared" si="6"/>
        <v>0</v>
      </c>
      <c r="Y30" s="213">
        <f t="shared" si="6"/>
        <v>0</v>
      </c>
      <c r="Z30" s="213">
        <f t="shared" si="6"/>
        <v>0</v>
      </c>
      <c r="AA30" s="213">
        <f t="shared" si="6"/>
        <v>0</v>
      </c>
      <c r="AB30" s="213">
        <f t="shared" si="4"/>
        <v>0</v>
      </c>
      <c r="AC30" s="213">
        <f t="shared" si="5"/>
        <v>0</v>
      </c>
    </row>
    <row r="31" spans="1:32" x14ac:dyDescent="0.25">
      <c r="A31" s="72" t="s">
        <v>165</v>
      </c>
      <c r="B31" s="46" t="s">
        <v>164</v>
      </c>
      <c r="C31" s="213">
        <v>0</v>
      </c>
      <c r="D31" s="213">
        <v>0</v>
      </c>
      <c r="E31" s="226">
        <v>0</v>
      </c>
      <c r="F31" s="226">
        <v>0</v>
      </c>
      <c r="G31" s="214">
        <v>0</v>
      </c>
      <c r="H31" s="214">
        <v>0</v>
      </c>
      <c r="I31" s="214">
        <v>0</v>
      </c>
      <c r="J31" s="214">
        <v>0</v>
      </c>
      <c r="K31" s="214">
        <v>0</v>
      </c>
      <c r="L31" s="214">
        <v>0</v>
      </c>
      <c r="M31" s="214">
        <v>0</v>
      </c>
      <c r="N31" s="214">
        <v>0</v>
      </c>
      <c r="O31" s="214">
        <v>0</v>
      </c>
      <c r="P31" s="214">
        <v>0</v>
      </c>
      <c r="Q31" s="214">
        <v>0</v>
      </c>
      <c r="R31" s="214">
        <v>0</v>
      </c>
      <c r="S31" s="214">
        <v>0</v>
      </c>
      <c r="T31" s="214">
        <v>0</v>
      </c>
      <c r="U31" s="214">
        <v>0</v>
      </c>
      <c r="V31" s="214">
        <v>0</v>
      </c>
      <c r="W31" s="214">
        <v>0</v>
      </c>
      <c r="X31" s="214">
        <v>0</v>
      </c>
      <c r="Y31" s="214">
        <v>0</v>
      </c>
      <c r="Z31" s="214">
        <v>0</v>
      </c>
      <c r="AA31" s="214">
        <v>0</v>
      </c>
      <c r="AB31" s="213">
        <f t="shared" si="4"/>
        <v>0</v>
      </c>
      <c r="AC31" s="213">
        <f t="shared" si="5"/>
        <v>0</v>
      </c>
    </row>
    <row r="32" spans="1:32" ht="31.5" x14ac:dyDescent="0.25">
      <c r="A32" s="72" t="s">
        <v>163</v>
      </c>
      <c r="B32" s="46" t="s">
        <v>162</v>
      </c>
      <c r="C32" s="213">
        <v>0</v>
      </c>
      <c r="D32" s="213">
        <v>0</v>
      </c>
      <c r="E32" s="226">
        <v>0</v>
      </c>
      <c r="F32" s="226">
        <v>0</v>
      </c>
      <c r="G32" s="214">
        <v>0</v>
      </c>
      <c r="H32" s="214">
        <v>0</v>
      </c>
      <c r="I32" s="214">
        <v>0</v>
      </c>
      <c r="J32" s="214">
        <v>0</v>
      </c>
      <c r="K32" s="214">
        <v>0</v>
      </c>
      <c r="L32" s="214">
        <v>0</v>
      </c>
      <c r="M32" s="214">
        <v>0</v>
      </c>
      <c r="N32" s="214">
        <v>0</v>
      </c>
      <c r="O32" s="214">
        <v>0</v>
      </c>
      <c r="P32" s="214">
        <v>0</v>
      </c>
      <c r="Q32" s="214">
        <v>0</v>
      </c>
      <c r="R32" s="214">
        <v>0</v>
      </c>
      <c r="S32" s="214">
        <v>0</v>
      </c>
      <c r="T32" s="214">
        <v>0</v>
      </c>
      <c r="U32" s="214">
        <v>0</v>
      </c>
      <c r="V32" s="214">
        <v>0</v>
      </c>
      <c r="W32" s="214">
        <v>0</v>
      </c>
      <c r="X32" s="214">
        <v>0</v>
      </c>
      <c r="Y32" s="214">
        <v>0</v>
      </c>
      <c r="Z32" s="214">
        <v>0</v>
      </c>
      <c r="AA32" s="214">
        <v>0</v>
      </c>
      <c r="AB32" s="213">
        <f t="shared" si="4"/>
        <v>0</v>
      </c>
      <c r="AC32" s="213">
        <f t="shared" si="5"/>
        <v>0</v>
      </c>
    </row>
    <row r="33" spans="1:29" x14ac:dyDescent="0.25">
      <c r="A33" s="72" t="s">
        <v>161</v>
      </c>
      <c r="B33" s="46" t="s">
        <v>160</v>
      </c>
      <c r="C33" s="213">
        <v>0</v>
      </c>
      <c r="D33" s="213">
        <v>0</v>
      </c>
      <c r="E33" s="226">
        <v>0</v>
      </c>
      <c r="F33" s="226">
        <v>0</v>
      </c>
      <c r="G33" s="214">
        <v>0</v>
      </c>
      <c r="H33" s="214">
        <v>0</v>
      </c>
      <c r="I33" s="214">
        <v>0</v>
      </c>
      <c r="J33" s="214">
        <v>0</v>
      </c>
      <c r="K33" s="214">
        <v>0</v>
      </c>
      <c r="L33" s="214">
        <v>0</v>
      </c>
      <c r="M33" s="214">
        <v>0</v>
      </c>
      <c r="N33" s="214">
        <v>0</v>
      </c>
      <c r="O33" s="214">
        <f>N33</f>
        <v>0</v>
      </c>
      <c r="P33" s="214">
        <v>0</v>
      </c>
      <c r="Q33" s="214">
        <v>0</v>
      </c>
      <c r="R33" s="214">
        <v>0</v>
      </c>
      <c r="S33" s="214">
        <v>0</v>
      </c>
      <c r="T33" s="214">
        <v>0</v>
      </c>
      <c r="U33" s="214">
        <v>0</v>
      </c>
      <c r="V33" s="214">
        <v>0</v>
      </c>
      <c r="W33" s="214">
        <v>0</v>
      </c>
      <c r="X33" s="214">
        <v>0</v>
      </c>
      <c r="Y33" s="214">
        <v>0</v>
      </c>
      <c r="Z33" s="214">
        <v>0</v>
      </c>
      <c r="AA33" s="214">
        <v>0</v>
      </c>
      <c r="AB33" s="213">
        <f t="shared" si="4"/>
        <v>0</v>
      </c>
      <c r="AC33" s="213">
        <f t="shared" si="5"/>
        <v>0</v>
      </c>
    </row>
    <row r="34" spans="1:29" x14ac:dyDescent="0.25">
      <c r="A34" s="72" t="s">
        <v>159</v>
      </c>
      <c r="B34" s="46" t="s">
        <v>158</v>
      </c>
      <c r="C34" s="213">
        <v>0</v>
      </c>
      <c r="D34" s="213">
        <v>0</v>
      </c>
      <c r="E34" s="226">
        <v>0</v>
      </c>
      <c r="F34" s="226">
        <v>0</v>
      </c>
      <c r="G34" s="214">
        <v>0</v>
      </c>
      <c r="H34" s="214">
        <v>0</v>
      </c>
      <c r="I34" s="214">
        <v>0</v>
      </c>
      <c r="J34" s="214">
        <v>0</v>
      </c>
      <c r="K34" s="214">
        <v>0</v>
      </c>
      <c r="L34" s="214">
        <v>0</v>
      </c>
      <c r="M34" s="214">
        <v>0</v>
      </c>
      <c r="N34" s="214">
        <v>0</v>
      </c>
      <c r="O34" s="214">
        <v>0</v>
      </c>
      <c r="P34" s="214">
        <v>0</v>
      </c>
      <c r="Q34" s="214">
        <v>0</v>
      </c>
      <c r="R34" s="214">
        <v>0</v>
      </c>
      <c r="S34" s="214">
        <v>0</v>
      </c>
      <c r="T34" s="214">
        <v>0</v>
      </c>
      <c r="U34" s="214">
        <v>0</v>
      </c>
      <c r="V34" s="214">
        <v>0</v>
      </c>
      <c r="W34" s="214">
        <v>0</v>
      </c>
      <c r="X34" s="214">
        <v>0</v>
      </c>
      <c r="Y34" s="214">
        <v>0</v>
      </c>
      <c r="Z34" s="214">
        <v>0</v>
      </c>
      <c r="AA34" s="214">
        <v>0</v>
      </c>
      <c r="AB34" s="213">
        <f t="shared" si="4"/>
        <v>0</v>
      </c>
      <c r="AC34" s="213">
        <f t="shared" si="5"/>
        <v>0</v>
      </c>
    </row>
    <row r="35" spans="1:29" ht="31.5" x14ac:dyDescent="0.25">
      <c r="A35" s="72" t="s">
        <v>60</v>
      </c>
      <c r="B35" s="71" t="s">
        <v>157</v>
      </c>
      <c r="C35" s="213">
        <v>0</v>
      </c>
      <c r="D35" s="213">
        <v>0</v>
      </c>
      <c r="E35" s="226">
        <v>0</v>
      </c>
      <c r="F35" s="226">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f t="shared" si="4"/>
        <v>0</v>
      </c>
      <c r="AC35" s="213">
        <f t="shared" si="5"/>
        <v>0</v>
      </c>
    </row>
    <row r="36" spans="1:29" ht="31.5" x14ac:dyDescent="0.25">
      <c r="A36" s="69" t="s">
        <v>156</v>
      </c>
      <c r="B36" s="68" t="s">
        <v>155</v>
      </c>
      <c r="C36" s="213">
        <v>0</v>
      </c>
      <c r="D36" s="213">
        <v>0</v>
      </c>
      <c r="E36" s="226">
        <v>0</v>
      </c>
      <c r="F36" s="226">
        <v>0</v>
      </c>
      <c r="G36" s="214">
        <v>0</v>
      </c>
      <c r="H36" s="214">
        <v>0</v>
      </c>
      <c r="I36" s="214">
        <v>0</v>
      </c>
      <c r="J36" s="214">
        <v>0</v>
      </c>
      <c r="K36" s="214">
        <v>0</v>
      </c>
      <c r="L36" s="214">
        <v>0</v>
      </c>
      <c r="M36" s="214">
        <v>0</v>
      </c>
      <c r="N36" s="214">
        <v>0</v>
      </c>
      <c r="O36" s="214">
        <v>0</v>
      </c>
      <c r="P36" s="214">
        <v>0</v>
      </c>
      <c r="Q36" s="214">
        <v>0</v>
      </c>
      <c r="R36" s="214">
        <v>0</v>
      </c>
      <c r="S36" s="214">
        <f t="shared" ref="S36:S38" si="8">R36</f>
        <v>0</v>
      </c>
      <c r="T36" s="214">
        <v>0</v>
      </c>
      <c r="U36" s="214">
        <v>0</v>
      </c>
      <c r="V36" s="214">
        <v>0</v>
      </c>
      <c r="W36" s="214">
        <v>0</v>
      </c>
      <c r="X36" s="214">
        <v>0</v>
      </c>
      <c r="Y36" s="214">
        <v>0</v>
      </c>
      <c r="Z36" s="214">
        <v>0</v>
      </c>
      <c r="AA36" s="214">
        <v>0</v>
      </c>
      <c r="AB36" s="213">
        <f t="shared" si="4"/>
        <v>0</v>
      </c>
      <c r="AC36" s="213">
        <f t="shared" si="5"/>
        <v>0</v>
      </c>
    </row>
    <row r="37" spans="1:29" x14ac:dyDescent="0.25">
      <c r="A37" s="69" t="s">
        <v>154</v>
      </c>
      <c r="B37" s="68" t="s">
        <v>144</v>
      </c>
      <c r="C37" s="213">
        <v>0</v>
      </c>
      <c r="D37" s="213">
        <v>0</v>
      </c>
      <c r="E37" s="226">
        <v>0</v>
      </c>
      <c r="F37" s="226">
        <v>0</v>
      </c>
      <c r="G37" s="214">
        <v>0</v>
      </c>
      <c r="H37" s="214">
        <v>0</v>
      </c>
      <c r="I37" s="214">
        <v>0</v>
      </c>
      <c r="J37" s="214">
        <v>0</v>
      </c>
      <c r="K37" s="214">
        <v>0</v>
      </c>
      <c r="L37" s="214">
        <v>0</v>
      </c>
      <c r="M37" s="214">
        <v>0</v>
      </c>
      <c r="N37" s="214">
        <v>0</v>
      </c>
      <c r="O37" s="214">
        <f>N37</f>
        <v>0</v>
      </c>
      <c r="P37" s="214">
        <v>0</v>
      </c>
      <c r="Q37" s="214">
        <v>0</v>
      </c>
      <c r="R37" s="214">
        <v>0</v>
      </c>
      <c r="S37" s="214">
        <f t="shared" si="8"/>
        <v>0</v>
      </c>
      <c r="T37" s="214">
        <v>0</v>
      </c>
      <c r="U37" s="214">
        <v>0</v>
      </c>
      <c r="V37" s="214">
        <v>0</v>
      </c>
      <c r="W37" s="214">
        <v>0</v>
      </c>
      <c r="X37" s="214">
        <v>0</v>
      </c>
      <c r="Y37" s="214">
        <v>0</v>
      </c>
      <c r="Z37" s="214">
        <v>0</v>
      </c>
      <c r="AA37" s="214">
        <v>0</v>
      </c>
      <c r="AB37" s="213">
        <f t="shared" si="4"/>
        <v>0</v>
      </c>
      <c r="AC37" s="213">
        <f t="shared" si="5"/>
        <v>0</v>
      </c>
    </row>
    <row r="38" spans="1:29" x14ac:dyDescent="0.25">
      <c r="A38" s="69" t="s">
        <v>153</v>
      </c>
      <c r="B38" s="68" t="s">
        <v>142</v>
      </c>
      <c r="C38" s="213">
        <v>0</v>
      </c>
      <c r="D38" s="213">
        <v>0</v>
      </c>
      <c r="E38" s="226">
        <v>0</v>
      </c>
      <c r="F38" s="226">
        <v>0</v>
      </c>
      <c r="G38" s="214">
        <v>0</v>
      </c>
      <c r="H38" s="214">
        <v>0</v>
      </c>
      <c r="I38" s="214">
        <v>0</v>
      </c>
      <c r="J38" s="214">
        <v>0</v>
      </c>
      <c r="K38" s="214">
        <v>0</v>
      </c>
      <c r="L38" s="214">
        <v>0</v>
      </c>
      <c r="M38" s="214">
        <v>0</v>
      </c>
      <c r="N38" s="214">
        <v>0</v>
      </c>
      <c r="O38" s="214">
        <v>0</v>
      </c>
      <c r="P38" s="214">
        <v>0</v>
      </c>
      <c r="Q38" s="214">
        <v>0</v>
      </c>
      <c r="R38" s="214">
        <v>0</v>
      </c>
      <c r="S38" s="214">
        <f t="shared" si="8"/>
        <v>0</v>
      </c>
      <c r="T38" s="214">
        <v>0</v>
      </c>
      <c r="U38" s="214">
        <v>0</v>
      </c>
      <c r="V38" s="214">
        <v>0</v>
      </c>
      <c r="W38" s="214">
        <v>0</v>
      </c>
      <c r="X38" s="214">
        <v>0</v>
      </c>
      <c r="Y38" s="214">
        <v>0</v>
      </c>
      <c r="Z38" s="214">
        <v>0</v>
      </c>
      <c r="AA38" s="214">
        <v>0</v>
      </c>
      <c r="AB38" s="213">
        <f t="shared" si="4"/>
        <v>0</v>
      </c>
      <c r="AC38" s="213">
        <f t="shared" si="5"/>
        <v>0</v>
      </c>
    </row>
    <row r="39" spans="1:29" ht="31.5" x14ac:dyDescent="0.25">
      <c r="A39" s="69" t="s">
        <v>152</v>
      </c>
      <c r="B39" s="46" t="s">
        <v>140</v>
      </c>
      <c r="C39" s="213">
        <v>0</v>
      </c>
      <c r="D39" s="213">
        <v>0</v>
      </c>
      <c r="E39" s="226">
        <v>0</v>
      </c>
      <c r="F39" s="226">
        <v>0</v>
      </c>
      <c r="G39" s="214">
        <v>0</v>
      </c>
      <c r="H39" s="214">
        <v>0</v>
      </c>
      <c r="I39" s="214">
        <v>0</v>
      </c>
      <c r="J39" s="214">
        <v>0</v>
      </c>
      <c r="K39" s="214">
        <v>0</v>
      </c>
      <c r="L39" s="214">
        <v>0</v>
      </c>
      <c r="M39" s="214">
        <v>0</v>
      </c>
      <c r="N39" s="214">
        <v>0</v>
      </c>
      <c r="O39" s="214">
        <f>N39</f>
        <v>0</v>
      </c>
      <c r="P39" s="214">
        <v>0</v>
      </c>
      <c r="Q39" s="214">
        <v>0</v>
      </c>
      <c r="R39" s="214">
        <v>0</v>
      </c>
      <c r="S39" s="214">
        <v>0</v>
      </c>
      <c r="T39" s="214">
        <v>0</v>
      </c>
      <c r="U39" s="214">
        <v>0</v>
      </c>
      <c r="V39" s="214">
        <v>0</v>
      </c>
      <c r="W39" s="214">
        <v>0</v>
      </c>
      <c r="X39" s="214">
        <v>0</v>
      </c>
      <c r="Y39" s="214">
        <v>0</v>
      </c>
      <c r="Z39" s="214">
        <v>0</v>
      </c>
      <c r="AA39" s="214">
        <v>0</v>
      </c>
      <c r="AB39" s="213">
        <f t="shared" si="4"/>
        <v>0</v>
      </c>
      <c r="AC39" s="213">
        <f t="shared" si="5"/>
        <v>0</v>
      </c>
    </row>
    <row r="40" spans="1:29" ht="31.5" x14ac:dyDescent="0.25">
      <c r="A40" s="69" t="s">
        <v>151</v>
      </c>
      <c r="B40" s="46" t="s">
        <v>138</v>
      </c>
      <c r="C40" s="213">
        <v>0</v>
      </c>
      <c r="D40" s="213">
        <v>0</v>
      </c>
      <c r="E40" s="226">
        <v>0</v>
      </c>
      <c r="F40" s="226">
        <v>0</v>
      </c>
      <c r="G40" s="214">
        <v>0</v>
      </c>
      <c r="H40" s="214">
        <v>0</v>
      </c>
      <c r="I40" s="214">
        <v>0</v>
      </c>
      <c r="J40" s="214">
        <v>0</v>
      </c>
      <c r="K40" s="214">
        <v>0</v>
      </c>
      <c r="L40" s="214">
        <v>0</v>
      </c>
      <c r="M40" s="214">
        <v>0</v>
      </c>
      <c r="N40" s="214">
        <v>0</v>
      </c>
      <c r="O40" s="214">
        <f>N40</f>
        <v>0</v>
      </c>
      <c r="P40" s="214">
        <v>0</v>
      </c>
      <c r="Q40" s="214">
        <v>0</v>
      </c>
      <c r="R40" s="214">
        <v>0</v>
      </c>
      <c r="S40" s="214">
        <f t="shared" ref="S40:S42" si="9">R40</f>
        <v>0</v>
      </c>
      <c r="T40" s="214">
        <v>0</v>
      </c>
      <c r="U40" s="214">
        <v>0</v>
      </c>
      <c r="V40" s="214">
        <v>0</v>
      </c>
      <c r="W40" s="214">
        <v>0</v>
      </c>
      <c r="X40" s="214">
        <v>0</v>
      </c>
      <c r="Y40" s="214">
        <v>0</v>
      </c>
      <c r="Z40" s="214">
        <v>0</v>
      </c>
      <c r="AA40" s="214">
        <v>0</v>
      </c>
      <c r="AB40" s="213">
        <f t="shared" si="4"/>
        <v>0</v>
      </c>
      <c r="AC40" s="213">
        <f t="shared" si="5"/>
        <v>0</v>
      </c>
    </row>
    <row r="41" spans="1:29" x14ac:dyDescent="0.25">
      <c r="A41" s="69" t="s">
        <v>150</v>
      </c>
      <c r="B41" s="46" t="s">
        <v>136</v>
      </c>
      <c r="C41" s="213">
        <v>0</v>
      </c>
      <c r="D41" s="213">
        <v>0</v>
      </c>
      <c r="E41" s="226">
        <v>0</v>
      </c>
      <c r="F41" s="226">
        <v>0</v>
      </c>
      <c r="G41" s="214">
        <v>0</v>
      </c>
      <c r="H41" s="214">
        <v>0</v>
      </c>
      <c r="I41" s="214">
        <v>0</v>
      </c>
      <c r="J41" s="214">
        <v>0</v>
      </c>
      <c r="K41" s="214">
        <v>0</v>
      </c>
      <c r="L41" s="214">
        <v>0</v>
      </c>
      <c r="M41" s="214">
        <v>0</v>
      </c>
      <c r="N41" s="214">
        <v>0</v>
      </c>
      <c r="O41" s="214">
        <f>N41</f>
        <v>0</v>
      </c>
      <c r="P41" s="214">
        <v>0</v>
      </c>
      <c r="Q41" s="214">
        <v>0</v>
      </c>
      <c r="R41" s="214">
        <v>0</v>
      </c>
      <c r="S41" s="214">
        <f>R41</f>
        <v>0</v>
      </c>
      <c r="T41" s="214">
        <v>0</v>
      </c>
      <c r="U41" s="214">
        <v>0</v>
      </c>
      <c r="V41" s="214">
        <v>0</v>
      </c>
      <c r="W41" s="214">
        <v>0</v>
      </c>
      <c r="X41" s="214">
        <v>0</v>
      </c>
      <c r="Y41" s="214">
        <v>0</v>
      </c>
      <c r="Z41" s="214">
        <v>0</v>
      </c>
      <c r="AA41" s="214">
        <v>0</v>
      </c>
      <c r="AB41" s="213">
        <f t="shared" si="4"/>
        <v>0</v>
      </c>
      <c r="AC41" s="213">
        <f t="shared" si="5"/>
        <v>0</v>
      </c>
    </row>
    <row r="42" spans="1:29" ht="18.75" x14ac:dyDescent="0.25">
      <c r="A42" s="69" t="s">
        <v>149</v>
      </c>
      <c r="B42" s="68" t="s">
        <v>526</v>
      </c>
      <c r="C42" s="213">
        <v>0</v>
      </c>
      <c r="D42" s="213">
        <v>0</v>
      </c>
      <c r="E42" s="226">
        <v>0</v>
      </c>
      <c r="F42" s="226">
        <v>0</v>
      </c>
      <c r="G42" s="214">
        <v>0</v>
      </c>
      <c r="H42" s="214">
        <v>0</v>
      </c>
      <c r="I42" s="214">
        <v>0</v>
      </c>
      <c r="J42" s="214">
        <v>0</v>
      </c>
      <c r="K42" s="214">
        <v>0</v>
      </c>
      <c r="L42" s="214">
        <v>0</v>
      </c>
      <c r="M42" s="214">
        <v>0</v>
      </c>
      <c r="N42" s="214">
        <v>0</v>
      </c>
      <c r="O42" s="214">
        <v>0</v>
      </c>
      <c r="P42" s="214">
        <v>0</v>
      </c>
      <c r="Q42" s="214">
        <v>0</v>
      </c>
      <c r="R42" s="214">
        <v>0</v>
      </c>
      <c r="S42" s="214">
        <f t="shared" si="9"/>
        <v>0</v>
      </c>
      <c r="T42" s="214">
        <v>0</v>
      </c>
      <c r="U42" s="214">
        <v>0</v>
      </c>
      <c r="V42" s="214">
        <v>0</v>
      </c>
      <c r="W42" s="214">
        <v>0</v>
      </c>
      <c r="X42" s="214">
        <v>0</v>
      </c>
      <c r="Y42" s="214">
        <v>0</v>
      </c>
      <c r="Z42" s="214">
        <v>0</v>
      </c>
      <c r="AA42" s="214">
        <v>0</v>
      </c>
      <c r="AB42" s="213">
        <f t="shared" si="4"/>
        <v>0</v>
      </c>
      <c r="AC42" s="213">
        <f t="shared" si="5"/>
        <v>0</v>
      </c>
    </row>
    <row r="43" spans="1:29" x14ac:dyDescent="0.25">
      <c r="A43" s="72" t="s">
        <v>59</v>
      </c>
      <c r="B43" s="71" t="s">
        <v>148</v>
      </c>
      <c r="C43" s="213">
        <v>0</v>
      </c>
      <c r="D43" s="213">
        <v>0</v>
      </c>
      <c r="E43" s="226">
        <v>0</v>
      </c>
      <c r="F43" s="226">
        <v>0</v>
      </c>
      <c r="G43" s="213">
        <v>0</v>
      </c>
      <c r="H43" s="213">
        <v>0</v>
      </c>
      <c r="I43" s="213">
        <v>0</v>
      </c>
      <c r="J43" s="213">
        <v>0</v>
      </c>
      <c r="K43" s="213">
        <v>0</v>
      </c>
      <c r="L43" s="213">
        <v>0</v>
      </c>
      <c r="M43" s="213">
        <v>0</v>
      </c>
      <c r="N43" s="213">
        <v>0</v>
      </c>
      <c r="O43" s="213">
        <v>0</v>
      </c>
      <c r="P43" s="213">
        <v>0</v>
      </c>
      <c r="Q43" s="213">
        <v>0</v>
      </c>
      <c r="R43" s="213">
        <v>0</v>
      </c>
      <c r="S43" s="213">
        <v>0</v>
      </c>
      <c r="T43" s="213">
        <v>0</v>
      </c>
      <c r="U43" s="213">
        <v>0</v>
      </c>
      <c r="V43" s="213">
        <v>0</v>
      </c>
      <c r="W43" s="213">
        <v>0</v>
      </c>
      <c r="X43" s="213">
        <v>0</v>
      </c>
      <c r="Y43" s="213">
        <v>0</v>
      </c>
      <c r="Z43" s="213">
        <v>0</v>
      </c>
      <c r="AA43" s="213">
        <v>0</v>
      </c>
      <c r="AB43" s="213">
        <f t="shared" si="4"/>
        <v>0</v>
      </c>
      <c r="AC43" s="213">
        <f t="shared" si="5"/>
        <v>0</v>
      </c>
    </row>
    <row r="44" spans="1:29" x14ac:dyDescent="0.25">
      <c r="A44" s="69" t="s">
        <v>147</v>
      </c>
      <c r="B44" s="46" t="s">
        <v>146</v>
      </c>
      <c r="C44" s="213">
        <v>0</v>
      </c>
      <c r="D44" s="213">
        <v>0</v>
      </c>
      <c r="E44" s="226">
        <v>0</v>
      </c>
      <c r="F44" s="226">
        <v>0</v>
      </c>
      <c r="G44" s="214">
        <v>0</v>
      </c>
      <c r="H44" s="214">
        <v>0</v>
      </c>
      <c r="I44" s="214">
        <v>0</v>
      </c>
      <c r="J44" s="214">
        <v>0</v>
      </c>
      <c r="K44" s="214">
        <v>0</v>
      </c>
      <c r="L44" s="214">
        <v>0</v>
      </c>
      <c r="M44" s="214">
        <v>0</v>
      </c>
      <c r="N44" s="214">
        <v>0</v>
      </c>
      <c r="O44" s="214">
        <v>0</v>
      </c>
      <c r="P44" s="214">
        <v>0</v>
      </c>
      <c r="Q44" s="214">
        <v>0</v>
      </c>
      <c r="R44" s="214">
        <f>R36</f>
        <v>0</v>
      </c>
      <c r="S44" s="214">
        <f>S36</f>
        <v>0</v>
      </c>
      <c r="T44" s="214">
        <v>0</v>
      </c>
      <c r="U44" s="214">
        <v>0</v>
      </c>
      <c r="V44" s="214">
        <v>0</v>
      </c>
      <c r="W44" s="214">
        <v>0</v>
      </c>
      <c r="X44" s="214">
        <v>0</v>
      </c>
      <c r="Y44" s="214">
        <v>0</v>
      </c>
      <c r="Z44" s="214">
        <v>0</v>
      </c>
      <c r="AA44" s="214">
        <v>0</v>
      </c>
      <c r="AB44" s="213">
        <f t="shared" si="4"/>
        <v>0</v>
      </c>
      <c r="AC44" s="213">
        <f t="shared" si="5"/>
        <v>0</v>
      </c>
    </row>
    <row r="45" spans="1:29" x14ac:dyDescent="0.25">
      <c r="A45" s="69" t="s">
        <v>145</v>
      </c>
      <c r="B45" s="46" t="s">
        <v>144</v>
      </c>
      <c r="C45" s="213">
        <v>0</v>
      </c>
      <c r="D45" s="213">
        <v>0</v>
      </c>
      <c r="E45" s="226">
        <v>0</v>
      </c>
      <c r="F45" s="226">
        <v>0</v>
      </c>
      <c r="G45" s="214">
        <v>0</v>
      </c>
      <c r="H45" s="214">
        <v>0</v>
      </c>
      <c r="I45" s="214">
        <v>0</v>
      </c>
      <c r="J45" s="214">
        <v>0</v>
      </c>
      <c r="K45" s="214">
        <v>0</v>
      </c>
      <c r="L45" s="214">
        <v>0</v>
      </c>
      <c r="M45" s="214">
        <v>0</v>
      </c>
      <c r="N45" s="214">
        <f>N37</f>
        <v>0</v>
      </c>
      <c r="O45" s="214">
        <f>O37</f>
        <v>0</v>
      </c>
      <c r="P45" s="214">
        <v>0</v>
      </c>
      <c r="Q45" s="214">
        <v>0</v>
      </c>
      <c r="R45" s="214">
        <f t="shared" ref="R45:S46" si="10">R37</f>
        <v>0</v>
      </c>
      <c r="S45" s="214">
        <f t="shared" si="10"/>
        <v>0</v>
      </c>
      <c r="T45" s="214">
        <v>0</v>
      </c>
      <c r="U45" s="214">
        <v>0</v>
      </c>
      <c r="V45" s="214">
        <v>0</v>
      </c>
      <c r="W45" s="214">
        <v>0</v>
      </c>
      <c r="X45" s="214">
        <v>0</v>
      </c>
      <c r="Y45" s="214">
        <v>0</v>
      </c>
      <c r="Z45" s="214">
        <v>0</v>
      </c>
      <c r="AA45" s="214">
        <v>0</v>
      </c>
      <c r="AB45" s="213">
        <f t="shared" si="4"/>
        <v>0</v>
      </c>
      <c r="AC45" s="213">
        <f t="shared" si="5"/>
        <v>0</v>
      </c>
    </row>
    <row r="46" spans="1:29" x14ac:dyDescent="0.25">
      <c r="A46" s="69" t="s">
        <v>143</v>
      </c>
      <c r="B46" s="46" t="s">
        <v>142</v>
      </c>
      <c r="C46" s="213">
        <v>0</v>
      </c>
      <c r="D46" s="213">
        <v>0</v>
      </c>
      <c r="E46" s="226">
        <v>0</v>
      </c>
      <c r="F46" s="226">
        <v>0</v>
      </c>
      <c r="G46" s="214">
        <v>0</v>
      </c>
      <c r="H46" s="214">
        <v>0</v>
      </c>
      <c r="I46" s="214">
        <v>0</v>
      </c>
      <c r="J46" s="214">
        <v>0</v>
      </c>
      <c r="K46" s="214">
        <v>0</v>
      </c>
      <c r="L46" s="214">
        <v>0</v>
      </c>
      <c r="M46" s="214">
        <v>0</v>
      </c>
      <c r="N46" s="214">
        <v>0</v>
      </c>
      <c r="O46" s="214">
        <v>0</v>
      </c>
      <c r="P46" s="214">
        <v>0</v>
      </c>
      <c r="Q46" s="214">
        <v>0</v>
      </c>
      <c r="R46" s="214">
        <f t="shared" si="10"/>
        <v>0</v>
      </c>
      <c r="S46" s="214">
        <f t="shared" si="10"/>
        <v>0</v>
      </c>
      <c r="T46" s="214">
        <v>0</v>
      </c>
      <c r="U46" s="214">
        <v>0</v>
      </c>
      <c r="V46" s="214">
        <v>0</v>
      </c>
      <c r="W46" s="214">
        <v>0</v>
      </c>
      <c r="X46" s="214">
        <v>0</v>
      </c>
      <c r="Y46" s="214">
        <v>0</v>
      </c>
      <c r="Z46" s="214">
        <v>0</v>
      </c>
      <c r="AA46" s="214">
        <v>0</v>
      </c>
      <c r="AB46" s="213">
        <f t="shared" si="4"/>
        <v>0</v>
      </c>
      <c r="AC46" s="213">
        <f t="shared" si="5"/>
        <v>0</v>
      </c>
    </row>
    <row r="47" spans="1:29" ht="31.5" x14ac:dyDescent="0.25">
      <c r="A47" s="69" t="s">
        <v>141</v>
      </c>
      <c r="B47" s="46" t="s">
        <v>140</v>
      </c>
      <c r="C47" s="213">
        <v>0</v>
      </c>
      <c r="D47" s="213">
        <v>0</v>
      </c>
      <c r="E47" s="226">
        <v>0</v>
      </c>
      <c r="F47" s="226">
        <v>0</v>
      </c>
      <c r="G47" s="214">
        <v>0</v>
      </c>
      <c r="H47" s="214">
        <v>0</v>
      </c>
      <c r="I47" s="214">
        <v>0</v>
      </c>
      <c r="J47" s="214">
        <v>0</v>
      </c>
      <c r="K47" s="214">
        <v>0</v>
      </c>
      <c r="L47" s="214">
        <v>0</v>
      </c>
      <c r="M47" s="214">
        <v>0</v>
      </c>
      <c r="N47" s="214">
        <f>N39</f>
        <v>0</v>
      </c>
      <c r="O47" s="214">
        <f>O39</f>
        <v>0</v>
      </c>
      <c r="P47" s="214">
        <v>0</v>
      </c>
      <c r="Q47" s="214">
        <v>0</v>
      </c>
      <c r="R47" s="214">
        <v>0</v>
      </c>
      <c r="S47" s="214">
        <v>0</v>
      </c>
      <c r="T47" s="214">
        <v>0</v>
      </c>
      <c r="U47" s="214">
        <v>0</v>
      </c>
      <c r="V47" s="214">
        <v>8.0000000000000002E-3</v>
      </c>
      <c r="W47" s="214">
        <v>0</v>
      </c>
      <c r="X47" s="214">
        <v>0</v>
      </c>
      <c r="Y47" s="214">
        <v>0</v>
      </c>
      <c r="Z47" s="214">
        <v>0</v>
      </c>
      <c r="AA47" s="214">
        <v>0</v>
      </c>
      <c r="AB47" s="213">
        <f t="shared" si="4"/>
        <v>0</v>
      </c>
      <c r="AC47" s="213">
        <f t="shared" si="5"/>
        <v>8.0000000000000002E-3</v>
      </c>
    </row>
    <row r="48" spans="1:29" ht="31.5" x14ac:dyDescent="0.25">
      <c r="A48" s="69" t="s">
        <v>139</v>
      </c>
      <c r="B48" s="46" t="s">
        <v>138</v>
      </c>
      <c r="C48" s="213">
        <v>0</v>
      </c>
      <c r="D48" s="213">
        <v>0</v>
      </c>
      <c r="E48" s="226">
        <v>0</v>
      </c>
      <c r="F48" s="226">
        <v>0</v>
      </c>
      <c r="G48" s="214">
        <v>0</v>
      </c>
      <c r="H48" s="214">
        <v>0</v>
      </c>
      <c r="I48" s="214">
        <v>0</v>
      </c>
      <c r="J48" s="214">
        <v>0</v>
      </c>
      <c r="K48" s="214">
        <v>0</v>
      </c>
      <c r="L48" s="214">
        <v>0</v>
      </c>
      <c r="M48" s="214">
        <v>0</v>
      </c>
      <c r="N48" s="214">
        <f t="shared" ref="N48:O49" si="11">N40</f>
        <v>0</v>
      </c>
      <c r="O48" s="214">
        <f t="shared" si="11"/>
        <v>0</v>
      </c>
      <c r="P48" s="214">
        <v>0</v>
      </c>
      <c r="Q48" s="214">
        <v>0</v>
      </c>
      <c r="R48" s="214">
        <f t="shared" ref="R48:S50" si="12">R40</f>
        <v>0</v>
      </c>
      <c r="S48" s="214">
        <f t="shared" si="12"/>
        <v>0</v>
      </c>
      <c r="T48" s="214">
        <v>0</v>
      </c>
      <c r="U48" s="214">
        <v>0</v>
      </c>
      <c r="V48" s="214">
        <v>0</v>
      </c>
      <c r="W48" s="214">
        <v>0</v>
      </c>
      <c r="X48" s="214">
        <v>0</v>
      </c>
      <c r="Y48" s="214">
        <v>0</v>
      </c>
      <c r="Z48" s="214">
        <v>0</v>
      </c>
      <c r="AA48" s="214">
        <v>0</v>
      </c>
      <c r="AB48" s="213">
        <f t="shared" si="4"/>
        <v>0</v>
      </c>
      <c r="AC48" s="213">
        <f t="shared" si="5"/>
        <v>0</v>
      </c>
    </row>
    <row r="49" spans="1:29" x14ac:dyDescent="0.25">
      <c r="A49" s="69" t="s">
        <v>137</v>
      </c>
      <c r="B49" s="46" t="s">
        <v>136</v>
      </c>
      <c r="C49" s="213">
        <v>0</v>
      </c>
      <c r="D49" s="213">
        <v>0</v>
      </c>
      <c r="E49" s="226">
        <v>0</v>
      </c>
      <c r="F49" s="226">
        <v>0</v>
      </c>
      <c r="G49" s="214">
        <v>0</v>
      </c>
      <c r="H49" s="214">
        <v>0</v>
      </c>
      <c r="I49" s="214">
        <v>0</v>
      </c>
      <c r="J49" s="214">
        <v>0</v>
      </c>
      <c r="K49" s="214">
        <v>0</v>
      </c>
      <c r="L49" s="214">
        <v>0</v>
      </c>
      <c r="M49" s="214">
        <v>0</v>
      </c>
      <c r="N49" s="214">
        <f t="shared" si="11"/>
        <v>0</v>
      </c>
      <c r="O49" s="214">
        <f t="shared" si="11"/>
        <v>0</v>
      </c>
      <c r="P49" s="214">
        <v>0</v>
      </c>
      <c r="Q49" s="214">
        <v>0</v>
      </c>
      <c r="R49" s="214">
        <f t="shared" si="12"/>
        <v>0</v>
      </c>
      <c r="S49" s="214">
        <f t="shared" si="12"/>
        <v>0</v>
      </c>
      <c r="T49" s="214">
        <v>0</v>
      </c>
      <c r="U49" s="214">
        <v>0</v>
      </c>
      <c r="V49" s="214">
        <v>0</v>
      </c>
      <c r="W49" s="214">
        <v>0</v>
      </c>
      <c r="X49" s="214">
        <v>0</v>
      </c>
      <c r="Y49" s="214">
        <v>0</v>
      </c>
      <c r="Z49" s="214">
        <v>0</v>
      </c>
      <c r="AA49" s="214">
        <v>0</v>
      </c>
      <c r="AB49" s="213">
        <f t="shared" si="4"/>
        <v>0</v>
      </c>
      <c r="AC49" s="213">
        <f t="shared" si="5"/>
        <v>0</v>
      </c>
    </row>
    <row r="50" spans="1:29" ht="18.75" x14ac:dyDescent="0.25">
      <c r="A50" s="69" t="s">
        <v>135</v>
      </c>
      <c r="B50" s="68" t="s">
        <v>526</v>
      </c>
      <c r="C50" s="213">
        <v>0</v>
      </c>
      <c r="D50" s="213">
        <v>0</v>
      </c>
      <c r="E50" s="226">
        <v>0</v>
      </c>
      <c r="F50" s="226">
        <v>0</v>
      </c>
      <c r="G50" s="214">
        <v>0</v>
      </c>
      <c r="H50" s="214">
        <v>0</v>
      </c>
      <c r="I50" s="214">
        <v>0</v>
      </c>
      <c r="J50" s="214">
        <v>0</v>
      </c>
      <c r="K50" s="214">
        <v>0</v>
      </c>
      <c r="L50" s="214">
        <v>0</v>
      </c>
      <c r="M50" s="214">
        <v>0</v>
      </c>
      <c r="N50" s="214">
        <v>0</v>
      </c>
      <c r="O50" s="214">
        <v>0</v>
      </c>
      <c r="P50" s="214">
        <v>0</v>
      </c>
      <c r="Q50" s="214">
        <v>0</v>
      </c>
      <c r="R50" s="214">
        <f t="shared" si="12"/>
        <v>0</v>
      </c>
      <c r="S50" s="214">
        <f t="shared" si="12"/>
        <v>0</v>
      </c>
      <c r="T50" s="214">
        <v>0</v>
      </c>
      <c r="U50" s="214">
        <v>0</v>
      </c>
      <c r="V50" s="214">
        <v>0</v>
      </c>
      <c r="W50" s="214">
        <v>0</v>
      </c>
      <c r="X50" s="214">
        <v>0</v>
      </c>
      <c r="Y50" s="214">
        <v>0</v>
      </c>
      <c r="Z50" s="214">
        <v>0</v>
      </c>
      <c r="AA50" s="214">
        <v>0</v>
      </c>
      <c r="AB50" s="213">
        <f t="shared" si="4"/>
        <v>0</v>
      </c>
      <c r="AC50" s="213">
        <f t="shared" si="5"/>
        <v>0</v>
      </c>
    </row>
    <row r="51" spans="1:29" ht="35.25" customHeight="1" x14ac:dyDescent="0.25">
      <c r="A51" s="72" t="s">
        <v>57</v>
      </c>
      <c r="B51" s="71" t="s">
        <v>134</v>
      </c>
      <c r="C51" s="213">
        <v>0</v>
      </c>
      <c r="D51" s="213">
        <v>0</v>
      </c>
      <c r="E51" s="226">
        <v>0</v>
      </c>
      <c r="F51" s="226">
        <v>0</v>
      </c>
      <c r="G51" s="213">
        <v>0</v>
      </c>
      <c r="H51" s="213">
        <v>0</v>
      </c>
      <c r="I51" s="213">
        <v>0</v>
      </c>
      <c r="J51" s="213">
        <v>0</v>
      </c>
      <c r="K51" s="213">
        <v>0</v>
      </c>
      <c r="L51" s="213">
        <v>0</v>
      </c>
      <c r="M51" s="213">
        <v>0</v>
      </c>
      <c r="N51" s="213">
        <v>0</v>
      </c>
      <c r="O51" s="213">
        <v>0</v>
      </c>
      <c r="P51" s="213">
        <v>0</v>
      </c>
      <c r="Q51" s="213">
        <v>0</v>
      </c>
      <c r="R51" s="213">
        <v>0</v>
      </c>
      <c r="S51" s="213">
        <v>0</v>
      </c>
      <c r="T51" s="213">
        <v>0</v>
      </c>
      <c r="U51" s="213">
        <v>0</v>
      </c>
      <c r="V51" s="213">
        <v>0</v>
      </c>
      <c r="W51" s="213">
        <v>0</v>
      </c>
      <c r="X51" s="213">
        <v>0</v>
      </c>
      <c r="Y51" s="213">
        <v>0</v>
      </c>
      <c r="Z51" s="213">
        <v>0</v>
      </c>
      <c r="AA51" s="213">
        <v>0</v>
      </c>
      <c r="AB51" s="213">
        <f t="shared" si="4"/>
        <v>0</v>
      </c>
      <c r="AC51" s="213">
        <f t="shared" si="5"/>
        <v>0</v>
      </c>
    </row>
    <row r="52" spans="1:29" x14ac:dyDescent="0.25">
      <c r="A52" s="69" t="s">
        <v>133</v>
      </c>
      <c r="B52" s="46" t="s">
        <v>132</v>
      </c>
      <c r="C52" s="214">
        <v>0</v>
      </c>
      <c r="D52" s="213">
        <v>0</v>
      </c>
      <c r="E52" s="226">
        <v>0</v>
      </c>
      <c r="F52" s="226">
        <v>0</v>
      </c>
      <c r="G52" s="214">
        <v>0</v>
      </c>
      <c r="H52" s="214">
        <v>0</v>
      </c>
      <c r="I52" s="214">
        <v>0</v>
      </c>
      <c r="J52" s="214">
        <v>0</v>
      </c>
      <c r="K52" s="214">
        <v>0</v>
      </c>
      <c r="L52" s="214">
        <v>0</v>
      </c>
      <c r="M52" s="214">
        <v>0</v>
      </c>
      <c r="N52" s="214">
        <v>0</v>
      </c>
      <c r="O52" s="214">
        <f>N52</f>
        <v>0</v>
      </c>
      <c r="P52" s="214">
        <v>0</v>
      </c>
      <c r="Q52" s="214">
        <v>0</v>
      </c>
      <c r="R52" s="214">
        <v>0</v>
      </c>
      <c r="S52" s="214">
        <v>0</v>
      </c>
      <c r="T52" s="214">
        <v>0</v>
      </c>
      <c r="U52" s="214">
        <v>0</v>
      </c>
      <c r="V52" s="214">
        <v>1.024E-3</v>
      </c>
      <c r="W52" s="214">
        <v>0</v>
      </c>
      <c r="X52" s="214">
        <v>0</v>
      </c>
      <c r="Y52" s="214">
        <v>0</v>
      </c>
      <c r="Z52" s="214">
        <v>0</v>
      </c>
      <c r="AA52" s="214">
        <v>0</v>
      </c>
      <c r="AB52" s="213">
        <f t="shared" si="4"/>
        <v>0</v>
      </c>
      <c r="AC52" s="213">
        <f t="shared" si="5"/>
        <v>1.024E-3</v>
      </c>
    </row>
    <row r="53" spans="1:29" x14ac:dyDescent="0.25">
      <c r="A53" s="69" t="s">
        <v>131</v>
      </c>
      <c r="B53" s="46" t="s">
        <v>125</v>
      </c>
      <c r="C53" s="213">
        <v>0</v>
      </c>
      <c r="D53" s="213">
        <v>0</v>
      </c>
      <c r="E53" s="226">
        <v>0</v>
      </c>
      <c r="F53" s="226">
        <v>0</v>
      </c>
      <c r="G53" s="214">
        <v>0</v>
      </c>
      <c r="H53" s="214">
        <v>0</v>
      </c>
      <c r="I53" s="214">
        <v>0</v>
      </c>
      <c r="J53" s="214">
        <v>0</v>
      </c>
      <c r="K53" s="214">
        <v>0</v>
      </c>
      <c r="L53" s="214">
        <v>0</v>
      </c>
      <c r="M53" s="214">
        <v>0</v>
      </c>
      <c r="N53" s="214">
        <v>0</v>
      </c>
      <c r="O53" s="214">
        <v>0</v>
      </c>
      <c r="P53" s="214">
        <v>0</v>
      </c>
      <c r="Q53" s="214">
        <v>0</v>
      </c>
      <c r="R53" s="214">
        <f>R44</f>
        <v>0</v>
      </c>
      <c r="S53" s="214">
        <f>S44</f>
        <v>0</v>
      </c>
      <c r="T53" s="214">
        <v>0</v>
      </c>
      <c r="U53" s="214">
        <v>0</v>
      </c>
      <c r="V53" s="214">
        <v>0</v>
      </c>
      <c r="W53" s="214">
        <v>0</v>
      </c>
      <c r="X53" s="214">
        <v>0</v>
      </c>
      <c r="Y53" s="214">
        <v>0</v>
      </c>
      <c r="Z53" s="214">
        <v>0</v>
      </c>
      <c r="AA53" s="214">
        <v>0</v>
      </c>
      <c r="AB53" s="213">
        <f t="shared" si="4"/>
        <v>0</v>
      </c>
      <c r="AC53" s="213">
        <f t="shared" si="5"/>
        <v>0</v>
      </c>
    </row>
    <row r="54" spans="1:29" x14ac:dyDescent="0.25">
      <c r="A54" s="69" t="s">
        <v>130</v>
      </c>
      <c r="B54" s="68" t="s">
        <v>124</v>
      </c>
      <c r="C54" s="213">
        <v>0</v>
      </c>
      <c r="D54" s="213">
        <v>0</v>
      </c>
      <c r="E54" s="226">
        <v>0</v>
      </c>
      <c r="F54" s="226">
        <v>0</v>
      </c>
      <c r="G54" s="214">
        <v>0</v>
      </c>
      <c r="H54" s="214">
        <v>0</v>
      </c>
      <c r="I54" s="214">
        <v>0</v>
      </c>
      <c r="J54" s="214">
        <v>0</v>
      </c>
      <c r="K54" s="214">
        <v>0</v>
      </c>
      <c r="L54" s="214">
        <v>0</v>
      </c>
      <c r="M54" s="214">
        <v>0</v>
      </c>
      <c r="N54" s="214">
        <f>N45</f>
        <v>0</v>
      </c>
      <c r="O54" s="214">
        <f>O45</f>
        <v>0</v>
      </c>
      <c r="P54" s="214">
        <v>0</v>
      </c>
      <c r="Q54" s="214">
        <v>0</v>
      </c>
      <c r="R54" s="214">
        <f t="shared" ref="R54:S55" si="13">R45</f>
        <v>0</v>
      </c>
      <c r="S54" s="214">
        <f t="shared" si="13"/>
        <v>0</v>
      </c>
      <c r="T54" s="214">
        <v>0</v>
      </c>
      <c r="U54" s="214">
        <v>0</v>
      </c>
      <c r="V54" s="214">
        <v>0</v>
      </c>
      <c r="W54" s="214">
        <v>0</v>
      </c>
      <c r="X54" s="214">
        <v>0</v>
      </c>
      <c r="Y54" s="214">
        <v>0</v>
      </c>
      <c r="Z54" s="214">
        <v>0</v>
      </c>
      <c r="AA54" s="214">
        <v>0</v>
      </c>
      <c r="AB54" s="213">
        <f t="shared" si="4"/>
        <v>0</v>
      </c>
      <c r="AC54" s="213">
        <f t="shared" si="5"/>
        <v>0</v>
      </c>
    </row>
    <row r="55" spans="1:29" x14ac:dyDescent="0.25">
      <c r="A55" s="69" t="s">
        <v>129</v>
      </c>
      <c r="B55" s="68" t="s">
        <v>123</v>
      </c>
      <c r="C55" s="213">
        <v>0</v>
      </c>
      <c r="D55" s="213">
        <v>0</v>
      </c>
      <c r="E55" s="226">
        <v>0</v>
      </c>
      <c r="F55" s="226">
        <v>0</v>
      </c>
      <c r="G55" s="214">
        <v>0</v>
      </c>
      <c r="H55" s="214">
        <v>0</v>
      </c>
      <c r="I55" s="214">
        <v>0</v>
      </c>
      <c r="J55" s="214">
        <v>0</v>
      </c>
      <c r="K55" s="214">
        <v>0</v>
      </c>
      <c r="L55" s="214">
        <v>0</v>
      </c>
      <c r="M55" s="214">
        <v>0</v>
      </c>
      <c r="N55" s="214">
        <v>0</v>
      </c>
      <c r="O55" s="214">
        <v>0</v>
      </c>
      <c r="P55" s="214">
        <v>0</v>
      </c>
      <c r="Q55" s="214">
        <v>0</v>
      </c>
      <c r="R55" s="214">
        <f t="shared" si="13"/>
        <v>0</v>
      </c>
      <c r="S55" s="214">
        <f t="shared" si="13"/>
        <v>0</v>
      </c>
      <c r="T55" s="214">
        <v>0</v>
      </c>
      <c r="U55" s="214">
        <v>0</v>
      </c>
      <c r="V55" s="214">
        <v>0</v>
      </c>
      <c r="W55" s="214">
        <v>0</v>
      </c>
      <c r="X55" s="214">
        <v>0</v>
      </c>
      <c r="Y55" s="214">
        <v>0</v>
      </c>
      <c r="Z55" s="214">
        <v>0</v>
      </c>
      <c r="AA55" s="214">
        <v>0</v>
      </c>
      <c r="AB55" s="213">
        <f t="shared" si="4"/>
        <v>0</v>
      </c>
      <c r="AC55" s="213">
        <f t="shared" si="5"/>
        <v>0</v>
      </c>
    </row>
    <row r="56" spans="1:29" x14ac:dyDescent="0.25">
      <c r="A56" s="69" t="s">
        <v>128</v>
      </c>
      <c r="B56" s="68" t="s">
        <v>122</v>
      </c>
      <c r="C56" s="213">
        <v>0</v>
      </c>
      <c r="D56" s="213">
        <v>0</v>
      </c>
      <c r="E56" s="226">
        <v>0</v>
      </c>
      <c r="F56" s="226">
        <v>0</v>
      </c>
      <c r="G56" s="214">
        <v>0</v>
      </c>
      <c r="H56" s="214">
        <v>0</v>
      </c>
      <c r="I56" s="214">
        <v>0</v>
      </c>
      <c r="J56" s="214">
        <v>0</v>
      </c>
      <c r="K56" s="214">
        <v>0</v>
      </c>
      <c r="L56" s="214">
        <v>0</v>
      </c>
      <c r="M56" s="214">
        <v>0</v>
      </c>
      <c r="N56" s="214">
        <f>N47+N48+N49</f>
        <v>0</v>
      </c>
      <c r="O56" s="214">
        <f>O47+O48+O49</f>
        <v>0</v>
      </c>
      <c r="P56" s="214">
        <v>0</v>
      </c>
      <c r="Q56" s="214">
        <v>0</v>
      </c>
      <c r="R56" s="214">
        <v>0</v>
      </c>
      <c r="S56" s="214">
        <v>0</v>
      </c>
      <c r="T56" s="214">
        <v>0</v>
      </c>
      <c r="U56" s="214">
        <v>0</v>
      </c>
      <c r="V56" s="214">
        <f>V47+V48+V49</f>
        <v>8.0000000000000002E-3</v>
      </c>
      <c r="W56" s="214">
        <f>W47+W48+W49</f>
        <v>0</v>
      </c>
      <c r="X56" s="214">
        <v>0</v>
      </c>
      <c r="Y56" s="214">
        <v>0</v>
      </c>
      <c r="Z56" s="214">
        <v>0</v>
      </c>
      <c r="AA56" s="214">
        <v>0</v>
      </c>
      <c r="AB56" s="213">
        <f t="shared" si="4"/>
        <v>0</v>
      </c>
      <c r="AC56" s="213">
        <f t="shared" si="5"/>
        <v>8.0000000000000002E-3</v>
      </c>
    </row>
    <row r="57" spans="1:29" ht="18.75" x14ac:dyDescent="0.25">
      <c r="A57" s="69" t="s">
        <v>127</v>
      </c>
      <c r="B57" s="68" t="s">
        <v>524</v>
      </c>
      <c r="C57" s="213">
        <v>0</v>
      </c>
      <c r="D57" s="213">
        <v>0</v>
      </c>
      <c r="E57" s="226">
        <v>0</v>
      </c>
      <c r="F57" s="226">
        <v>0</v>
      </c>
      <c r="G57" s="214">
        <v>0</v>
      </c>
      <c r="H57" s="214">
        <v>0</v>
      </c>
      <c r="I57" s="214">
        <v>0</v>
      </c>
      <c r="J57" s="214">
        <v>0</v>
      </c>
      <c r="K57" s="214">
        <v>0</v>
      </c>
      <c r="L57" s="214">
        <v>0</v>
      </c>
      <c r="M57" s="214">
        <v>0</v>
      </c>
      <c r="N57" s="214">
        <v>0</v>
      </c>
      <c r="O57" s="214">
        <f>N57</f>
        <v>0</v>
      </c>
      <c r="P57" s="214">
        <v>0</v>
      </c>
      <c r="Q57" s="214">
        <v>0</v>
      </c>
      <c r="R57" s="214">
        <f>R50</f>
        <v>0</v>
      </c>
      <c r="S57" s="214">
        <f>S50</f>
        <v>0</v>
      </c>
      <c r="T57" s="214">
        <v>0</v>
      </c>
      <c r="U57" s="214">
        <v>0</v>
      </c>
      <c r="V57" s="214">
        <v>0</v>
      </c>
      <c r="W57" s="214">
        <v>0</v>
      </c>
      <c r="X57" s="214">
        <v>0</v>
      </c>
      <c r="Y57" s="214">
        <v>0</v>
      </c>
      <c r="Z57" s="214">
        <v>0</v>
      </c>
      <c r="AA57" s="214">
        <v>0</v>
      </c>
      <c r="AB57" s="213">
        <f t="shared" si="4"/>
        <v>0</v>
      </c>
      <c r="AC57" s="213">
        <f t="shared" si="5"/>
        <v>0</v>
      </c>
    </row>
    <row r="58" spans="1:29" ht="36.75" customHeight="1" x14ac:dyDescent="0.25">
      <c r="A58" s="72" t="s">
        <v>56</v>
      </c>
      <c r="B58" s="89" t="s">
        <v>224</v>
      </c>
      <c r="C58" s="213">
        <v>0</v>
      </c>
      <c r="D58" s="213">
        <v>0</v>
      </c>
      <c r="E58" s="226">
        <v>0</v>
      </c>
      <c r="F58" s="226">
        <v>0</v>
      </c>
      <c r="G58" s="213">
        <v>0</v>
      </c>
      <c r="H58" s="213">
        <v>0</v>
      </c>
      <c r="I58" s="213">
        <v>0</v>
      </c>
      <c r="J58" s="213">
        <v>0</v>
      </c>
      <c r="K58" s="213">
        <v>0</v>
      </c>
      <c r="L58" s="213">
        <v>0</v>
      </c>
      <c r="M58" s="213">
        <v>0</v>
      </c>
      <c r="N58" s="213">
        <v>0</v>
      </c>
      <c r="O58" s="213">
        <v>0</v>
      </c>
      <c r="P58" s="213">
        <v>0</v>
      </c>
      <c r="Q58" s="213">
        <v>0</v>
      </c>
      <c r="R58" s="213">
        <v>0</v>
      </c>
      <c r="S58" s="213">
        <v>0</v>
      </c>
      <c r="T58" s="213">
        <v>0</v>
      </c>
      <c r="U58" s="213">
        <v>0</v>
      </c>
      <c r="V58" s="213">
        <v>0</v>
      </c>
      <c r="W58" s="213">
        <v>0</v>
      </c>
      <c r="X58" s="213">
        <v>0</v>
      </c>
      <c r="Y58" s="213">
        <v>0</v>
      </c>
      <c r="Z58" s="213">
        <v>0</v>
      </c>
      <c r="AA58" s="213">
        <v>0</v>
      </c>
      <c r="AB58" s="213">
        <f t="shared" si="4"/>
        <v>0</v>
      </c>
      <c r="AC58" s="213">
        <f t="shared" si="5"/>
        <v>0</v>
      </c>
    </row>
    <row r="59" spans="1:29" x14ac:dyDescent="0.25">
      <c r="A59" s="72" t="s">
        <v>54</v>
      </c>
      <c r="B59" s="71" t="s">
        <v>126</v>
      </c>
      <c r="C59" s="213">
        <v>0</v>
      </c>
      <c r="D59" s="213">
        <v>0</v>
      </c>
      <c r="E59" s="226">
        <v>0</v>
      </c>
      <c r="F59" s="226">
        <v>0</v>
      </c>
      <c r="G59" s="213">
        <v>0</v>
      </c>
      <c r="H59" s="213">
        <v>0</v>
      </c>
      <c r="I59" s="213">
        <v>0</v>
      </c>
      <c r="J59" s="213">
        <v>0</v>
      </c>
      <c r="K59" s="213">
        <v>0</v>
      </c>
      <c r="L59" s="213">
        <v>0</v>
      </c>
      <c r="M59" s="213">
        <v>0</v>
      </c>
      <c r="N59" s="213">
        <v>0</v>
      </c>
      <c r="O59" s="213">
        <v>0</v>
      </c>
      <c r="P59" s="213">
        <v>0</v>
      </c>
      <c r="Q59" s="213">
        <v>0</v>
      </c>
      <c r="R59" s="213">
        <v>0</v>
      </c>
      <c r="S59" s="213">
        <v>0</v>
      </c>
      <c r="T59" s="213">
        <v>0</v>
      </c>
      <c r="U59" s="213">
        <v>0</v>
      </c>
      <c r="V59" s="213">
        <v>0</v>
      </c>
      <c r="W59" s="213">
        <v>0</v>
      </c>
      <c r="X59" s="213">
        <v>0</v>
      </c>
      <c r="Y59" s="213">
        <v>0</v>
      </c>
      <c r="Z59" s="213">
        <v>0</v>
      </c>
      <c r="AA59" s="213">
        <v>0</v>
      </c>
      <c r="AB59" s="213">
        <f t="shared" si="4"/>
        <v>0</v>
      </c>
      <c r="AC59" s="213">
        <f t="shared" si="5"/>
        <v>0</v>
      </c>
    </row>
    <row r="60" spans="1:29" x14ac:dyDescent="0.25">
      <c r="A60" s="69" t="s">
        <v>218</v>
      </c>
      <c r="B60" s="70" t="s">
        <v>146</v>
      </c>
      <c r="C60" s="213">
        <v>0</v>
      </c>
      <c r="D60" s="213">
        <v>0</v>
      </c>
      <c r="E60" s="226">
        <v>0</v>
      </c>
      <c r="F60" s="226">
        <v>0</v>
      </c>
      <c r="G60" s="214">
        <v>0</v>
      </c>
      <c r="H60" s="214">
        <v>0</v>
      </c>
      <c r="I60" s="214">
        <v>0</v>
      </c>
      <c r="J60" s="214">
        <v>0</v>
      </c>
      <c r="K60" s="214">
        <v>0</v>
      </c>
      <c r="L60" s="214">
        <v>0</v>
      </c>
      <c r="M60" s="214">
        <v>0</v>
      </c>
      <c r="N60" s="214">
        <v>0</v>
      </c>
      <c r="O60" s="214">
        <v>0</v>
      </c>
      <c r="P60" s="214">
        <v>0</v>
      </c>
      <c r="Q60" s="214">
        <v>0</v>
      </c>
      <c r="R60" s="214">
        <v>0</v>
      </c>
      <c r="S60" s="214">
        <v>0</v>
      </c>
      <c r="T60" s="214">
        <v>0</v>
      </c>
      <c r="U60" s="214">
        <v>0</v>
      </c>
      <c r="V60" s="214">
        <v>0</v>
      </c>
      <c r="W60" s="214">
        <v>0</v>
      </c>
      <c r="X60" s="214">
        <v>0</v>
      </c>
      <c r="Y60" s="214">
        <v>0</v>
      </c>
      <c r="Z60" s="214">
        <v>0</v>
      </c>
      <c r="AA60" s="214">
        <v>0</v>
      </c>
      <c r="AB60" s="213">
        <f t="shared" si="4"/>
        <v>0</v>
      </c>
      <c r="AC60" s="213">
        <f t="shared" si="5"/>
        <v>0</v>
      </c>
    </row>
    <row r="61" spans="1:29" x14ac:dyDescent="0.25">
      <c r="A61" s="69" t="s">
        <v>219</v>
      </c>
      <c r="B61" s="70" t="s">
        <v>144</v>
      </c>
      <c r="C61" s="213">
        <v>0</v>
      </c>
      <c r="D61" s="213">
        <v>0</v>
      </c>
      <c r="E61" s="226">
        <v>0</v>
      </c>
      <c r="F61" s="226">
        <v>0</v>
      </c>
      <c r="G61" s="214">
        <v>0</v>
      </c>
      <c r="H61" s="214">
        <v>0</v>
      </c>
      <c r="I61" s="214">
        <v>0</v>
      </c>
      <c r="J61" s="214">
        <v>0</v>
      </c>
      <c r="K61" s="214">
        <v>0</v>
      </c>
      <c r="L61" s="214">
        <v>0</v>
      </c>
      <c r="M61" s="214">
        <v>0</v>
      </c>
      <c r="N61" s="214">
        <v>0</v>
      </c>
      <c r="O61" s="214">
        <v>0</v>
      </c>
      <c r="P61" s="214">
        <v>0</v>
      </c>
      <c r="Q61" s="214">
        <v>0</v>
      </c>
      <c r="R61" s="214">
        <v>0</v>
      </c>
      <c r="S61" s="214">
        <v>0</v>
      </c>
      <c r="T61" s="214">
        <v>0</v>
      </c>
      <c r="U61" s="214">
        <v>0</v>
      </c>
      <c r="V61" s="214">
        <v>0</v>
      </c>
      <c r="W61" s="214">
        <v>0</v>
      </c>
      <c r="X61" s="214">
        <v>0</v>
      </c>
      <c r="Y61" s="214">
        <v>0</v>
      </c>
      <c r="Z61" s="214">
        <v>0</v>
      </c>
      <c r="AA61" s="214">
        <v>0</v>
      </c>
      <c r="AB61" s="213">
        <f t="shared" si="4"/>
        <v>0</v>
      </c>
      <c r="AC61" s="213">
        <f t="shared" si="5"/>
        <v>0</v>
      </c>
    </row>
    <row r="62" spans="1:29" x14ac:dyDescent="0.25">
      <c r="A62" s="69" t="s">
        <v>220</v>
      </c>
      <c r="B62" s="70" t="s">
        <v>142</v>
      </c>
      <c r="C62" s="213">
        <v>0</v>
      </c>
      <c r="D62" s="213">
        <v>0</v>
      </c>
      <c r="E62" s="226">
        <v>0</v>
      </c>
      <c r="F62" s="226">
        <v>0</v>
      </c>
      <c r="G62" s="214">
        <v>0</v>
      </c>
      <c r="H62" s="214">
        <v>0</v>
      </c>
      <c r="I62" s="214">
        <v>0</v>
      </c>
      <c r="J62" s="214">
        <v>0</v>
      </c>
      <c r="K62" s="214">
        <v>0</v>
      </c>
      <c r="L62" s="214">
        <v>0</v>
      </c>
      <c r="M62" s="214">
        <v>0</v>
      </c>
      <c r="N62" s="214">
        <v>0</v>
      </c>
      <c r="O62" s="214">
        <v>0</v>
      </c>
      <c r="P62" s="214">
        <v>0</v>
      </c>
      <c r="Q62" s="214">
        <v>0</v>
      </c>
      <c r="R62" s="214">
        <v>0</v>
      </c>
      <c r="S62" s="214">
        <v>0</v>
      </c>
      <c r="T62" s="214">
        <v>0</v>
      </c>
      <c r="U62" s="214">
        <v>0</v>
      </c>
      <c r="V62" s="214">
        <v>0</v>
      </c>
      <c r="W62" s="214">
        <v>0</v>
      </c>
      <c r="X62" s="214">
        <v>0</v>
      </c>
      <c r="Y62" s="214">
        <v>0</v>
      </c>
      <c r="Z62" s="214">
        <v>0</v>
      </c>
      <c r="AA62" s="214">
        <v>0</v>
      </c>
      <c r="AB62" s="213">
        <f t="shared" si="4"/>
        <v>0</v>
      </c>
      <c r="AC62" s="213">
        <f t="shared" si="5"/>
        <v>0</v>
      </c>
    </row>
    <row r="63" spans="1:29" x14ac:dyDescent="0.25">
      <c r="A63" s="69" t="s">
        <v>221</v>
      </c>
      <c r="B63" s="70" t="s">
        <v>223</v>
      </c>
      <c r="C63" s="213">
        <v>0</v>
      </c>
      <c r="D63" s="213">
        <v>0</v>
      </c>
      <c r="E63" s="226">
        <v>0</v>
      </c>
      <c r="F63" s="226">
        <v>0</v>
      </c>
      <c r="G63" s="214">
        <v>0</v>
      </c>
      <c r="H63" s="214">
        <v>0</v>
      </c>
      <c r="I63" s="214">
        <v>0</v>
      </c>
      <c r="J63" s="214">
        <v>0</v>
      </c>
      <c r="K63" s="214">
        <v>0</v>
      </c>
      <c r="L63" s="214">
        <v>0</v>
      </c>
      <c r="M63" s="214">
        <v>0</v>
      </c>
      <c r="N63" s="214">
        <v>0</v>
      </c>
      <c r="O63" s="214">
        <v>0</v>
      </c>
      <c r="P63" s="214">
        <v>0</v>
      </c>
      <c r="Q63" s="214">
        <v>0</v>
      </c>
      <c r="R63" s="214">
        <v>0</v>
      </c>
      <c r="S63" s="214">
        <f>R63</f>
        <v>0</v>
      </c>
      <c r="T63" s="214">
        <v>0</v>
      </c>
      <c r="U63" s="214">
        <v>0</v>
      </c>
      <c r="V63" s="214">
        <v>0</v>
      </c>
      <c r="W63" s="214">
        <v>0</v>
      </c>
      <c r="X63" s="214">
        <v>0</v>
      </c>
      <c r="Y63" s="214">
        <v>0</v>
      </c>
      <c r="Z63" s="214">
        <v>0</v>
      </c>
      <c r="AA63" s="214">
        <v>0</v>
      </c>
      <c r="AB63" s="213">
        <f t="shared" si="4"/>
        <v>0</v>
      </c>
      <c r="AC63" s="213">
        <f t="shared" si="5"/>
        <v>0</v>
      </c>
    </row>
    <row r="64" spans="1:29" ht="18.75" x14ac:dyDescent="0.25">
      <c r="A64" s="69" t="s">
        <v>222</v>
      </c>
      <c r="B64" s="68" t="s">
        <v>524</v>
      </c>
      <c r="C64" s="213">
        <v>0</v>
      </c>
      <c r="D64" s="213">
        <v>0</v>
      </c>
      <c r="E64" s="226">
        <v>0</v>
      </c>
      <c r="F64" s="226">
        <v>0</v>
      </c>
      <c r="G64" s="214">
        <v>0</v>
      </c>
      <c r="H64" s="214">
        <v>0</v>
      </c>
      <c r="I64" s="214">
        <v>0</v>
      </c>
      <c r="J64" s="214">
        <v>0</v>
      </c>
      <c r="K64" s="214">
        <v>0</v>
      </c>
      <c r="L64" s="214">
        <v>0</v>
      </c>
      <c r="M64" s="214">
        <v>0</v>
      </c>
      <c r="N64" s="214">
        <v>0</v>
      </c>
      <c r="O64" s="214">
        <v>0</v>
      </c>
      <c r="P64" s="214">
        <v>0</v>
      </c>
      <c r="Q64" s="214">
        <v>0</v>
      </c>
      <c r="R64" s="214">
        <v>0</v>
      </c>
      <c r="S64" s="214">
        <v>0</v>
      </c>
      <c r="T64" s="214">
        <v>0</v>
      </c>
      <c r="U64" s="214">
        <v>0</v>
      </c>
      <c r="V64" s="214">
        <v>0</v>
      </c>
      <c r="W64" s="214">
        <v>0</v>
      </c>
      <c r="X64" s="214">
        <v>0</v>
      </c>
      <c r="Y64" s="214">
        <v>0</v>
      </c>
      <c r="Z64" s="214">
        <v>0</v>
      </c>
      <c r="AA64" s="214">
        <v>0</v>
      </c>
      <c r="AB64" s="213">
        <f t="shared" si="4"/>
        <v>0</v>
      </c>
      <c r="AC64" s="213">
        <f t="shared" si="5"/>
        <v>0</v>
      </c>
    </row>
    <row r="65" spans="1:28" x14ac:dyDescent="0.25">
      <c r="A65" s="65"/>
      <c r="B65" s="66"/>
      <c r="C65" s="66"/>
      <c r="D65" s="66"/>
      <c r="E65" s="66"/>
      <c r="F65" s="66"/>
      <c r="G65" s="66"/>
      <c r="H65" s="66"/>
      <c r="I65" s="66"/>
      <c r="J65" s="66"/>
      <c r="K65" s="66"/>
      <c r="L65" s="65"/>
      <c r="M65" s="65"/>
      <c r="N65" s="59"/>
      <c r="O65" s="59"/>
      <c r="P65" s="59"/>
      <c r="Q65" s="59"/>
      <c r="R65" s="59"/>
      <c r="S65" s="59"/>
      <c r="T65" s="59"/>
      <c r="U65" s="59"/>
      <c r="V65" s="59"/>
      <c r="W65" s="59"/>
      <c r="X65" s="59"/>
      <c r="Y65" s="59"/>
      <c r="Z65" s="59"/>
      <c r="AA65" s="59"/>
      <c r="AB65" s="59"/>
    </row>
    <row r="66" spans="1:28" ht="54" customHeight="1" x14ac:dyDescent="0.25">
      <c r="A66" s="59"/>
      <c r="B66" s="439"/>
      <c r="C66" s="439"/>
      <c r="D66" s="439"/>
      <c r="E66" s="439"/>
      <c r="F66" s="439"/>
      <c r="G66" s="439"/>
      <c r="H66" s="439"/>
      <c r="I66" s="439"/>
      <c r="J66" s="345"/>
      <c r="K66" s="345"/>
      <c r="L66" s="64"/>
      <c r="M66" s="64"/>
      <c r="N66" s="64"/>
      <c r="O66" s="64"/>
      <c r="P66" s="64"/>
      <c r="Q66" s="64"/>
      <c r="R66" s="64"/>
      <c r="S66" s="64"/>
      <c r="T66" s="64"/>
      <c r="U66" s="64"/>
      <c r="V66" s="64"/>
      <c r="W66" s="64"/>
      <c r="X66" s="64"/>
      <c r="Y66" s="64"/>
      <c r="Z66" s="64"/>
      <c r="AA66" s="64"/>
      <c r="AB66" s="64"/>
    </row>
    <row r="67" spans="1:28" x14ac:dyDescent="0.25">
      <c r="A67" s="59"/>
      <c r="B67" s="59"/>
      <c r="C67" s="59"/>
      <c r="D67" s="59"/>
      <c r="E67" s="59"/>
      <c r="F67" s="59"/>
      <c r="L67" s="59"/>
      <c r="M67" s="59"/>
      <c r="N67" s="59"/>
      <c r="O67" s="59"/>
      <c r="P67" s="59"/>
      <c r="Q67" s="59"/>
      <c r="R67" s="59"/>
      <c r="S67" s="59"/>
      <c r="T67" s="59"/>
      <c r="U67" s="59"/>
      <c r="V67" s="59"/>
      <c r="W67" s="59"/>
      <c r="X67" s="59"/>
      <c r="Y67" s="59"/>
      <c r="Z67" s="59"/>
      <c r="AA67" s="59"/>
      <c r="AB67" s="59"/>
    </row>
    <row r="68" spans="1:28" ht="50.25" customHeight="1" x14ac:dyDescent="0.25">
      <c r="A68" s="59"/>
      <c r="B68" s="441"/>
      <c r="C68" s="441"/>
      <c r="D68" s="441"/>
      <c r="E68" s="441"/>
      <c r="F68" s="441"/>
      <c r="G68" s="441"/>
      <c r="H68" s="441"/>
      <c r="I68" s="441"/>
      <c r="J68" s="346"/>
      <c r="K68" s="346"/>
      <c r="L68" s="59"/>
      <c r="M68" s="59"/>
      <c r="N68" s="59"/>
      <c r="O68" s="59"/>
      <c r="P68" s="59"/>
      <c r="Q68" s="59"/>
      <c r="R68" s="59"/>
      <c r="S68" s="59"/>
      <c r="T68" s="59"/>
      <c r="U68" s="59"/>
      <c r="V68" s="59"/>
      <c r="W68" s="59"/>
      <c r="X68" s="59"/>
      <c r="Y68" s="59"/>
      <c r="Z68" s="59"/>
      <c r="AA68" s="59"/>
      <c r="AB68" s="59"/>
    </row>
    <row r="69" spans="1:28" x14ac:dyDescent="0.25">
      <c r="A69" s="59"/>
      <c r="B69" s="59"/>
      <c r="C69" s="59"/>
      <c r="D69" s="59"/>
      <c r="E69" s="59"/>
      <c r="F69" s="59"/>
      <c r="L69" s="59"/>
      <c r="M69" s="59"/>
      <c r="N69" s="59"/>
      <c r="O69" s="59"/>
      <c r="P69" s="59"/>
      <c r="Q69" s="59"/>
      <c r="R69" s="59"/>
      <c r="S69" s="59"/>
      <c r="T69" s="59"/>
      <c r="U69" s="59"/>
      <c r="V69" s="59"/>
      <c r="W69" s="59"/>
      <c r="X69" s="59"/>
      <c r="Y69" s="59"/>
      <c r="Z69" s="59"/>
      <c r="AA69" s="59"/>
      <c r="AB69" s="59"/>
    </row>
    <row r="70" spans="1:28" ht="36.75" customHeight="1" x14ac:dyDescent="0.25">
      <c r="A70" s="59"/>
      <c r="B70" s="439"/>
      <c r="C70" s="439"/>
      <c r="D70" s="439"/>
      <c r="E70" s="439"/>
      <c r="F70" s="439"/>
      <c r="G70" s="439"/>
      <c r="H70" s="439"/>
      <c r="I70" s="439"/>
      <c r="J70" s="345"/>
      <c r="K70" s="345"/>
      <c r="L70" s="59"/>
      <c r="M70" s="59"/>
      <c r="N70" s="59"/>
      <c r="O70" s="59"/>
      <c r="P70" s="59"/>
      <c r="Q70" s="59"/>
      <c r="R70" s="59"/>
      <c r="S70" s="59"/>
      <c r="T70" s="59"/>
      <c r="U70" s="59"/>
      <c r="V70" s="59"/>
      <c r="W70" s="59"/>
      <c r="X70" s="59"/>
      <c r="Y70" s="59"/>
      <c r="Z70" s="59"/>
      <c r="AA70" s="59"/>
      <c r="AB70" s="59"/>
    </row>
    <row r="71" spans="1:28" x14ac:dyDescent="0.25">
      <c r="A71" s="59"/>
      <c r="B71" s="63"/>
      <c r="C71" s="63"/>
      <c r="D71" s="63"/>
      <c r="E71" s="63"/>
      <c r="F71" s="63"/>
      <c r="L71" s="59"/>
      <c r="M71" s="59"/>
      <c r="N71" s="62"/>
      <c r="O71" s="59"/>
      <c r="P71" s="59"/>
      <c r="Q71" s="59"/>
      <c r="R71" s="59"/>
      <c r="S71" s="59"/>
      <c r="T71" s="59"/>
      <c r="U71" s="59"/>
      <c r="V71" s="59"/>
      <c r="W71" s="59"/>
      <c r="X71" s="59"/>
      <c r="Y71" s="59"/>
      <c r="Z71" s="59"/>
      <c r="AA71" s="59"/>
      <c r="AB71" s="59"/>
    </row>
    <row r="72" spans="1:28" ht="51" customHeight="1" x14ac:dyDescent="0.25">
      <c r="A72" s="59"/>
      <c r="B72" s="439"/>
      <c r="C72" s="439"/>
      <c r="D72" s="439"/>
      <c r="E72" s="439"/>
      <c r="F72" s="439"/>
      <c r="G72" s="439"/>
      <c r="H72" s="439"/>
      <c r="I72" s="439"/>
      <c r="J72" s="345"/>
      <c r="K72" s="345"/>
      <c r="L72" s="59"/>
      <c r="M72" s="59"/>
      <c r="N72" s="62"/>
      <c r="O72" s="59"/>
      <c r="P72" s="59"/>
      <c r="Q72" s="59"/>
      <c r="R72" s="59"/>
      <c r="S72" s="59"/>
      <c r="T72" s="59"/>
      <c r="U72" s="59"/>
      <c r="V72" s="59"/>
      <c r="W72" s="59"/>
      <c r="X72" s="59"/>
      <c r="Y72" s="59"/>
      <c r="Z72" s="59"/>
      <c r="AA72" s="59"/>
      <c r="AB72" s="59"/>
    </row>
    <row r="73" spans="1:28" ht="32.25" customHeight="1" x14ac:dyDescent="0.25">
      <c r="A73" s="59"/>
      <c r="B73" s="441"/>
      <c r="C73" s="441"/>
      <c r="D73" s="441"/>
      <c r="E73" s="441"/>
      <c r="F73" s="441"/>
      <c r="G73" s="441"/>
      <c r="H73" s="441"/>
      <c r="I73" s="441"/>
      <c r="J73" s="346"/>
      <c r="K73" s="346"/>
      <c r="L73" s="59"/>
      <c r="M73" s="59"/>
      <c r="N73" s="59"/>
      <c r="O73" s="59"/>
      <c r="P73" s="59"/>
      <c r="Q73" s="59"/>
      <c r="R73" s="59"/>
      <c r="S73" s="59"/>
      <c r="T73" s="59"/>
      <c r="U73" s="59"/>
      <c r="V73" s="59"/>
      <c r="W73" s="59"/>
      <c r="X73" s="59"/>
      <c r="Y73" s="59"/>
      <c r="Z73" s="59"/>
      <c r="AA73" s="59"/>
      <c r="AB73" s="59"/>
    </row>
    <row r="74" spans="1:28" ht="51.75" customHeight="1" x14ac:dyDescent="0.25">
      <c r="A74" s="59"/>
      <c r="B74" s="439"/>
      <c r="C74" s="439"/>
      <c r="D74" s="439"/>
      <c r="E74" s="439"/>
      <c r="F74" s="439"/>
      <c r="G74" s="439"/>
      <c r="H74" s="439"/>
      <c r="I74" s="439"/>
      <c r="J74" s="345"/>
      <c r="K74" s="345"/>
      <c r="L74" s="59"/>
      <c r="M74" s="59"/>
      <c r="N74" s="59"/>
      <c r="O74" s="59"/>
      <c r="P74" s="59"/>
      <c r="Q74" s="59"/>
      <c r="R74" s="59"/>
      <c r="S74" s="59"/>
      <c r="T74" s="59"/>
      <c r="U74" s="59"/>
      <c r="V74" s="59"/>
      <c r="W74" s="59"/>
      <c r="X74" s="59"/>
      <c r="Y74" s="59"/>
      <c r="Z74" s="59"/>
      <c r="AA74" s="59"/>
      <c r="AB74" s="59"/>
    </row>
    <row r="75" spans="1:28" ht="21.75" customHeight="1" x14ac:dyDescent="0.25">
      <c r="A75" s="59"/>
      <c r="B75" s="442"/>
      <c r="C75" s="442"/>
      <c r="D75" s="442"/>
      <c r="E75" s="442"/>
      <c r="F75" s="442"/>
      <c r="G75" s="442"/>
      <c r="H75" s="442"/>
      <c r="I75" s="442"/>
      <c r="J75" s="343"/>
      <c r="K75" s="343"/>
      <c r="L75" s="60"/>
      <c r="M75" s="60"/>
      <c r="N75" s="59"/>
      <c r="O75" s="59"/>
      <c r="P75" s="59"/>
      <c r="Q75" s="59"/>
      <c r="R75" s="59"/>
      <c r="S75" s="59"/>
      <c r="T75" s="59"/>
      <c r="U75" s="59"/>
      <c r="V75" s="59"/>
      <c r="W75" s="59"/>
      <c r="X75" s="59"/>
      <c r="Y75" s="59"/>
      <c r="Z75" s="59"/>
      <c r="AA75" s="59"/>
      <c r="AB75" s="59"/>
    </row>
    <row r="76" spans="1:28" ht="23.25" customHeight="1" x14ac:dyDescent="0.25">
      <c r="A76" s="59"/>
      <c r="B76" s="60"/>
      <c r="C76" s="60"/>
      <c r="D76" s="60"/>
      <c r="E76" s="60"/>
      <c r="F76" s="60"/>
      <c r="L76" s="59"/>
      <c r="M76" s="59"/>
      <c r="N76" s="59"/>
      <c r="O76" s="59"/>
      <c r="P76" s="59"/>
      <c r="Q76" s="59"/>
      <c r="R76" s="59"/>
      <c r="S76" s="59"/>
      <c r="T76" s="59"/>
      <c r="U76" s="59"/>
      <c r="V76" s="59"/>
      <c r="W76" s="59"/>
      <c r="X76" s="59"/>
      <c r="Y76" s="59"/>
      <c r="Z76" s="59"/>
      <c r="AA76" s="59"/>
      <c r="AB76" s="59"/>
    </row>
    <row r="77" spans="1:28" ht="18.75" customHeight="1" x14ac:dyDescent="0.25">
      <c r="A77" s="59"/>
      <c r="B77" s="440"/>
      <c r="C77" s="440"/>
      <c r="D77" s="440"/>
      <c r="E77" s="440"/>
      <c r="F77" s="440"/>
      <c r="G77" s="440"/>
      <c r="H77" s="440"/>
      <c r="I77" s="440"/>
      <c r="J77" s="344"/>
      <c r="K77" s="344"/>
      <c r="L77" s="59"/>
      <c r="M77" s="59"/>
      <c r="N77" s="59"/>
      <c r="O77" s="59"/>
      <c r="P77" s="59"/>
      <c r="Q77" s="59"/>
      <c r="R77" s="59"/>
      <c r="S77" s="59"/>
      <c r="T77" s="59"/>
      <c r="U77" s="59"/>
      <c r="V77" s="59"/>
      <c r="W77" s="59"/>
      <c r="X77" s="59"/>
      <c r="Y77" s="59"/>
      <c r="Z77" s="59"/>
      <c r="AA77" s="59"/>
      <c r="AB77" s="59"/>
    </row>
    <row r="78" spans="1:28" x14ac:dyDescent="0.25">
      <c r="A78" s="59"/>
      <c r="B78" s="59"/>
      <c r="C78" s="59"/>
      <c r="D78" s="59"/>
      <c r="E78" s="59"/>
      <c r="F78" s="59"/>
      <c r="L78" s="59"/>
      <c r="M78" s="59"/>
      <c r="N78" s="59"/>
      <c r="O78" s="59"/>
      <c r="P78" s="59"/>
      <c r="Q78" s="59"/>
      <c r="R78" s="59"/>
      <c r="S78" s="59"/>
      <c r="T78" s="59"/>
      <c r="U78" s="59"/>
      <c r="V78" s="59"/>
      <c r="W78" s="59"/>
      <c r="X78" s="59"/>
      <c r="Y78" s="59"/>
      <c r="Z78" s="59"/>
      <c r="AA78" s="59"/>
      <c r="AB78" s="59"/>
    </row>
    <row r="79" spans="1:28" x14ac:dyDescent="0.25">
      <c r="A79" s="59"/>
      <c r="B79" s="59"/>
      <c r="C79" s="59"/>
      <c r="D79" s="59"/>
      <c r="E79" s="59"/>
      <c r="F79" s="59"/>
      <c r="L79" s="59"/>
      <c r="M79" s="59"/>
      <c r="N79" s="59"/>
      <c r="O79" s="59"/>
      <c r="P79" s="59"/>
      <c r="Q79" s="59"/>
      <c r="R79" s="59"/>
      <c r="S79" s="59"/>
      <c r="T79" s="59"/>
      <c r="U79" s="59"/>
      <c r="V79" s="59"/>
      <c r="W79" s="59"/>
      <c r="X79" s="59"/>
      <c r="Y79" s="59"/>
      <c r="Z79" s="59"/>
      <c r="AA79" s="59"/>
      <c r="AB79" s="59"/>
    </row>
    <row r="80" spans="1:28"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44 G46:G53 G55:G64">
    <cfRule type="cellIs" dxfId="36" priority="37" operator="notEqual">
      <formula>0</formula>
    </cfRule>
  </conditionalFormatting>
  <conditionalFormatting sqref="H27:I29 L29:U29 H58:U64 H40:J40 H42:J44 H41:I41 H49:I49 H50:J53 H48:J48 H47:I47 H39:I39 H46:J46 P54:Q54 H55:J57 H33:M33 M52 L27:M28 N27:O27 H34:U38 P52:Q52 L51:R51 L46:O50 H24:U26 H30:U32 P27:U28 O33:U33 L39:U44 T45:U57 P45:S50 L53:S53 L55:Q56 R54:S56 L57:S57 X24:AA64">
    <cfRule type="cellIs" dxfId="35" priority="36" operator="notEqual">
      <formula>0</formula>
    </cfRule>
  </conditionalFormatting>
  <conditionalFormatting sqref="C24:D28 C46:D53 C45 C55:D64 C54 C30:D44 C29">
    <cfRule type="cellIs" dxfId="34" priority="35" operator="notEqual">
      <formula>0</formula>
    </cfRule>
  </conditionalFormatting>
  <conditionalFormatting sqref="J27:K29">
    <cfRule type="cellIs" dxfId="33" priority="34" operator="notEqual">
      <formula>0</formula>
    </cfRule>
  </conditionalFormatting>
  <conditionalFormatting sqref="AB24:AC64">
    <cfRule type="cellIs" dxfId="32" priority="33" operator="notEqual">
      <formula>0</formula>
    </cfRule>
  </conditionalFormatting>
  <conditionalFormatting sqref="L52">
    <cfRule type="cellIs" dxfId="31" priority="32" operator="notEqual">
      <formula>0</formula>
    </cfRule>
  </conditionalFormatting>
  <conditionalFormatting sqref="J41">
    <cfRule type="cellIs" dxfId="30" priority="31" operator="notEqual">
      <formula>0</formula>
    </cfRule>
  </conditionalFormatting>
  <conditionalFormatting sqref="J49">
    <cfRule type="cellIs" dxfId="29" priority="30" operator="notEqual">
      <formula>0</formula>
    </cfRule>
  </conditionalFormatting>
  <conditionalFormatting sqref="K57">
    <cfRule type="cellIs" dxfId="28" priority="29" operator="notEqual">
      <formula>0</formula>
    </cfRule>
  </conditionalFormatting>
  <conditionalFormatting sqref="K40 K42:K44 K50:K51 K48 K53 K46 K55">
    <cfRule type="cellIs" dxfId="27" priority="28" operator="notEqual">
      <formula>0</formula>
    </cfRule>
  </conditionalFormatting>
  <conditionalFormatting sqref="K41">
    <cfRule type="cellIs" dxfId="26" priority="27" operator="notEqual">
      <formula>0</formula>
    </cfRule>
  </conditionalFormatting>
  <conditionalFormatting sqref="K49">
    <cfRule type="cellIs" dxfId="25" priority="26" operator="notEqual">
      <formula>0</formula>
    </cfRule>
  </conditionalFormatting>
  <conditionalFormatting sqref="K56">
    <cfRule type="cellIs" dxfId="24" priority="25" operator="notEqual">
      <formula>0</formula>
    </cfRule>
  </conditionalFormatting>
  <conditionalFormatting sqref="J47">
    <cfRule type="cellIs" dxfId="23" priority="24" operator="notEqual">
      <formula>0</formula>
    </cfRule>
  </conditionalFormatting>
  <conditionalFormatting sqref="K47">
    <cfRule type="cellIs" dxfId="22" priority="23" operator="notEqual">
      <formula>0</formula>
    </cfRule>
  </conditionalFormatting>
  <conditionalFormatting sqref="J39">
    <cfRule type="cellIs" dxfId="21" priority="22" operator="notEqual">
      <formula>0</formula>
    </cfRule>
  </conditionalFormatting>
  <conditionalFormatting sqref="K39">
    <cfRule type="cellIs" dxfId="20" priority="21" operator="notEqual">
      <formula>0</formula>
    </cfRule>
  </conditionalFormatting>
  <conditionalFormatting sqref="K52">
    <cfRule type="cellIs" dxfId="19" priority="20" operator="notEqual">
      <formula>0</formula>
    </cfRule>
  </conditionalFormatting>
  <conditionalFormatting sqref="G45">
    <cfRule type="cellIs" dxfId="18" priority="19" operator="notEqual">
      <formula>0</formula>
    </cfRule>
  </conditionalFormatting>
  <conditionalFormatting sqref="H45:O45">
    <cfRule type="cellIs" dxfId="17" priority="18" operator="notEqual">
      <formula>0</formula>
    </cfRule>
  </conditionalFormatting>
  <conditionalFormatting sqref="D45">
    <cfRule type="cellIs" dxfId="16" priority="17" operator="notEqual">
      <formula>0</formula>
    </cfRule>
  </conditionalFormatting>
  <conditionalFormatting sqref="G54">
    <cfRule type="cellIs" dxfId="15" priority="16" operator="notEqual">
      <formula>0</formula>
    </cfRule>
  </conditionalFormatting>
  <conditionalFormatting sqref="H54:O54">
    <cfRule type="cellIs" dxfId="14" priority="15" operator="notEqual">
      <formula>0</formula>
    </cfRule>
  </conditionalFormatting>
  <conditionalFormatting sqref="D54">
    <cfRule type="cellIs" dxfId="13" priority="14" operator="notEqual">
      <formula>0</formula>
    </cfRule>
  </conditionalFormatting>
  <conditionalFormatting sqref="E24:F64">
    <cfRule type="cellIs" dxfId="12" priority="13" operator="notEqual">
      <formula>0</formula>
    </cfRule>
  </conditionalFormatting>
  <conditionalFormatting sqref="O28">
    <cfRule type="cellIs" dxfId="11" priority="12" operator="notEqual">
      <formula>0</formula>
    </cfRule>
  </conditionalFormatting>
  <conditionalFormatting sqref="N28">
    <cfRule type="cellIs" dxfId="10" priority="11" operator="notEqual">
      <formula>0</formula>
    </cfRule>
  </conditionalFormatting>
  <conditionalFormatting sqref="N33">
    <cfRule type="cellIs" dxfId="9" priority="10" operator="notEqual">
      <formula>0</formula>
    </cfRule>
  </conditionalFormatting>
  <conditionalFormatting sqref="N52:O52">
    <cfRule type="cellIs" dxfId="8" priority="9" operator="notEqual">
      <formula>0</formula>
    </cfRule>
  </conditionalFormatting>
  <conditionalFormatting sqref="S51">
    <cfRule type="cellIs" dxfId="7" priority="8" operator="notEqual">
      <formula>0</formula>
    </cfRule>
  </conditionalFormatting>
  <conditionalFormatting sqref="R52:S52">
    <cfRule type="cellIs" dxfId="6" priority="7" operator="notEqual">
      <formula>0</formula>
    </cfRule>
  </conditionalFormatting>
  <conditionalFormatting sqref="D29">
    <cfRule type="cellIs" dxfId="5" priority="6" operator="notEqual">
      <formula>0</formula>
    </cfRule>
  </conditionalFormatting>
  <conditionalFormatting sqref="V24:V64 W27 W56">
    <cfRule type="cellIs" dxfId="4" priority="5" operator="notEqual">
      <formula>0</formula>
    </cfRule>
  </conditionalFormatting>
  <conditionalFormatting sqref="W24:W26 W34:W46 W57:W64 W28:W32 W50:W51">
    <cfRule type="cellIs" dxfId="3" priority="4" operator="notEqual">
      <formula>0</formula>
    </cfRule>
  </conditionalFormatting>
  <conditionalFormatting sqref="W33">
    <cfRule type="cellIs" dxfId="2" priority="3" operator="notEqual">
      <formula>0</formula>
    </cfRule>
  </conditionalFormatting>
  <conditionalFormatting sqref="W52:W55">
    <cfRule type="cellIs" dxfId="1" priority="2" operator="notEqual">
      <formula>0</formula>
    </cfRule>
  </conditionalFormatting>
  <conditionalFormatting sqref="W47:W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54" t="str">
        <f>'1. паспорт местоположение'!A5:C5</f>
        <v>Год раскрытия информации: 2019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4"/>
      <c r="AR5" s="354"/>
      <c r="AS5" s="354"/>
      <c r="AT5" s="354"/>
      <c r="AU5" s="354"/>
      <c r="AV5" s="354"/>
    </row>
    <row r="6" spans="1:48" ht="18.75" x14ac:dyDescent="0.3">
      <c r="AV6" s="14"/>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x14ac:dyDescent="0.25">
      <c r="A12" s="364" t="str">
        <f>'1. паспорт местоположение'!A12:C12</f>
        <v>J_140-109</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x14ac:dyDescent="0.25">
      <c r="A15" s="364" t="str">
        <f>'1. паспорт местоположение'!A15</f>
        <v>Приобретение электросетевого комплекса ул.1-ая Большая окружная, с/т г.Калининград (дог.безв 3509 от 10.04.2019 гр. Щербанев В.М.)</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25"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25" customFormat="1" x14ac:dyDescent="0.25">
      <c r="A21" s="457" t="s">
        <v>486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5" customFormat="1" ht="58.5" customHeight="1" x14ac:dyDescent="0.25">
      <c r="A22" s="448" t="s">
        <v>50</v>
      </c>
      <c r="B22" s="459" t="s">
        <v>22</v>
      </c>
      <c r="C22" s="448" t="s">
        <v>49</v>
      </c>
      <c r="D22" s="448" t="s">
        <v>48</v>
      </c>
      <c r="E22" s="462" t="s">
        <v>496</v>
      </c>
      <c r="F22" s="463"/>
      <c r="G22" s="463"/>
      <c r="H22" s="463"/>
      <c r="I22" s="463"/>
      <c r="J22" s="463"/>
      <c r="K22" s="463"/>
      <c r="L22" s="464"/>
      <c r="M22" s="448" t="s">
        <v>47</v>
      </c>
      <c r="N22" s="448" t="s">
        <v>46</v>
      </c>
      <c r="O22" s="448" t="s">
        <v>45</v>
      </c>
      <c r="P22" s="443" t="s">
        <v>253</v>
      </c>
      <c r="Q22" s="443" t="s">
        <v>44</v>
      </c>
      <c r="R22" s="443" t="s">
        <v>43</v>
      </c>
      <c r="S22" s="443" t="s">
        <v>42</v>
      </c>
      <c r="T22" s="443"/>
      <c r="U22" s="465" t="s">
        <v>41</v>
      </c>
      <c r="V22" s="465" t="s">
        <v>40</v>
      </c>
      <c r="W22" s="443" t="s">
        <v>39</v>
      </c>
      <c r="X22" s="443" t="s">
        <v>38</v>
      </c>
      <c r="Y22" s="443" t="s">
        <v>37</v>
      </c>
      <c r="Z22" s="450" t="s">
        <v>36</v>
      </c>
      <c r="AA22" s="443" t="s">
        <v>35</v>
      </c>
      <c r="AB22" s="443" t="s">
        <v>34</v>
      </c>
      <c r="AC22" s="443" t="s">
        <v>33</v>
      </c>
      <c r="AD22" s="443" t="s">
        <v>32</v>
      </c>
      <c r="AE22" s="443" t="s">
        <v>31</v>
      </c>
      <c r="AF22" s="443" t="s">
        <v>30</v>
      </c>
      <c r="AG22" s="443"/>
      <c r="AH22" s="443"/>
      <c r="AI22" s="443"/>
      <c r="AJ22" s="443"/>
      <c r="AK22" s="443"/>
      <c r="AL22" s="443" t="s">
        <v>29</v>
      </c>
      <c r="AM22" s="443"/>
      <c r="AN22" s="443"/>
      <c r="AO22" s="443"/>
      <c r="AP22" s="443" t="s">
        <v>28</v>
      </c>
      <c r="AQ22" s="443"/>
      <c r="AR22" s="443" t="s">
        <v>27</v>
      </c>
      <c r="AS22" s="443" t="s">
        <v>26</v>
      </c>
      <c r="AT22" s="443" t="s">
        <v>25</v>
      </c>
      <c r="AU22" s="443" t="s">
        <v>24</v>
      </c>
      <c r="AV22" s="451" t="s">
        <v>23</v>
      </c>
    </row>
    <row r="23" spans="1:48" s="25" customFormat="1" ht="64.5" customHeight="1" x14ac:dyDescent="0.25">
      <c r="A23" s="458"/>
      <c r="B23" s="460"/>
      <c r="C23" s="458"/>
      <c r="D23" s="458"/>
      <c r="E23" s="453" t="s">
        <v>21</v>
      </c>
      <c r="F23" s="444" t="s">
        <v>125</v>
      </c>
      <c r="G23" s="444" t="s">
        <v>124</v>
      </c>
      <c r="H23" s="444" t="s">
        <v>123</v>
      </c>
      <c r="I23" s="446" t="s">
        <v>407</v>
      </c>
      <c r="J23" s="446" t="s">
        <v>408</v>
      </c>
      <c r="K23" s="446" t="s">
        <v>409</v>
      </c>
      <c r="L23" s="444" t="s">
        <v>527</v>
      </c>
      <c r="M23" s="458"/>
      <c r="N23" s="458"/>
      <c r="O23" s="458"/>
      <c r="P23" s="443"/>
      <c r="Q23" s="443"/>
      <c r="R23" s="443"/>
      <c r="S23" s="455" t="s">
        <v>2</v>
      </c>
      <c r="T23" s="455" t="s">
        <v>9</v>
      </c>
      <c r="U23" s="465"/>
      <c r="V23" s="465"/>
      <c r="W23" s="443"/>
      <c r="X23" s="443"/>
      <c r="Y23" s="443"/>
      <c r="Z23" s="443"/>
      <c r="AA23" s="443"/>
      <c r="AB23" s="443"/>
      <c r="AC23" s="443"/>
      <c r="AD23" s="443"/>
      <c r="AE23" s="443"/>
      <c r="AF23" s="443" t="s">
        <v>20</v>
      </c>
      <c r="AG23" s="443"/>
      <c r="AH23" s="443" t="s">
        <v>19</v>
      </c>
      <c r="AI23" s="443"/>
      <c r="AJ23" s="448" t="s">
        <v>18</v>
      </c>
      <c r="AK23" s="448" t="s">
        <v>17</v>
      </c>
      <c r="AL23" s="448" t="s">
        <v>16</v>
      </c>
      <c r="AM23" s="448" t="s">
        <v>15</v>
      </c>
      <c r="AN23" s="448" t="s">
        <v>14</v>
      </c>
      <c r="AO23" s="448" t="s">
        <v>13</v>
      </c>
      <c r="AP23" s="448" t="s">
        <v>12</v>
      </c>
      <c r="AQ23" s="466" t="s">
        <v>9</v>
      </c>
      <c r="AR23" s="443"/>
      <c r="AS23" s="443"/>
      <c r="AT23" s="443"/>
      <c r="AU23" s="443"/>
      <c r="AV23" s="452"/>
    </row>
    <row r="24" spans="1:48" s="25" customFormat="1" ht="96.75" customHeight="1" x14ac:dyDescent="0.25">
      <c r="A24" s="449"/>
      <c r="B24" s="461"/>
      <c r="C24" s="449"/>
      <c r="D24" s="449"/>
      <c r="E24" s="454"/>
      <c r="F24" s="445"/>
      <c r="G24" s="445"/>
      <c r="H24" s="445"/>
      <c r="I24" s="447"/>
      <c r="J24" s="447"/>
      <c r="K24" s="447"/>
      <c r="L24" s="445"/>
      <c r="M24" s="449"/>
      <c r="N24" s="449"/>
      <c r="O24" s="449"/>
      <c r="P24" s="443"/>
      <c r="Q24" s="443"/>
      <c r="R24" s="443"/>
      <c r="S24" s="456"/>
      <c r="T24" s="456"/>
      <c r="U24" s="465"/>
      <c r="V24" s="465"/>
      <c r="W24" s="443"/>
      <c r="X24" s="443"/>
      <c r="Y24" s="443"/>
      <c r="Z24" s="443"/>
      <c r="AA24" s="443"/>
      <c r="AB24" s="443"/>
      <c r="AC24" s="443"/>
      <c r="AD24" s="443"/>
      <c r="AE24" s="443"/>
      <c r="AF24" s="132" t="s">
        <v>11</v>
      </c>
      <c r="AG24" s="132" t="s">
        <v>10</v>
      </c>
      <c r="AH24" s="133" t="s">
        <v>2</v>
      </c>
      <c r="AI24" s="133" t="s">
        <v>9</v>
      </c>
      <c r="AJ24" s="449"/>
      <c r="AK24" s="449"/>
      <c r="AL24" s="449"/>
      <c r="AM24" s="449"/>
      <c r="AN24" s="449"/>
      <c r="AO24" s="449"/>
      <c r="AP24" s="449"/>
      <c r="AQ24" s="467"/>
      <c r="AR24" s="443"/>
      <c r="AS24" s="443"/>
      <c r="AT24" s="443"/>
      <c r="AU24" s="443"/>
      <c r="AV24" s="45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9.149999999999999" customHeight="1" x14ac:dyDescent="0.2">
      <c r="A26" s="22">
        <v>1</v>
      </c>
      <c r="B26" s="181" t="s">
        <v>506</v>
      </c>
      <c r="C26" s="20"/>
      <c r="D26" s="347">
        <f>'6.1. Паспорт сетевой график'!F53</f>
        <v>43565</v>
      </c>
      <c r="E26" s="258"/>
      <c r="F26" s="258"/>
      <c r="G26" s="259">
        <f>'6.2. Паспорт фин осв ввод'!V45</f>
        <v>0</v>
      </c>
      <c r="H26" s="259"/>
      <c r="I26" s="259">
        <f>'6.2. Паспорт фин осв ввод'!V47</f>
        <v>8.0000000000000002E-3</v>
      </c>
      <c r="J26" s="259"/>
      <c r="K26" s="259">
        <f>'6.2. Паспорт фин осв ввод'!V49</f>
        <v>0</v>
      </c>
      <c r="L26" s="230"/>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zoomScale="90" zoomScaleNormal="90" zoomScaleSheetLayoutView="90" workbookViewId="0">
      <selection activeCell="B28" sqref="B28"/>
    </sheetView>
  </sheetViews>
  <sheetFormatPr defaultRowHeight="15.75" x14ac:dyDescent="0.25"/>
  <cols>
    <col min="1" max="2" width="66.140625" style="107" customWidth="1"/>
    <col min="3" max="3" width="0" style="108" hidden="1" customWidth="1"/>
    <col min="4"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8</v>
      </c>
    </row>
    <row r="3" spans="1:8" ht="18.75" x14ac:dyDescent="0.3">
      <c r="B3" s="14" t="s">
        <v>504</v>
      </c>
    </row>
    <row r="4" spans="1:8" x14ac:dyDescent="0.25">
      <c r="B4" s="41"/>
    </row>
    <row r="5" spans="1:8" ht="18.75" x14ac:dyDescent="0.3">
      <c r="A5" s="473" t="str">
        <f>'1. паспорт местоположение'!A5:C5</f>
        <v>Год раскрытия информации: 2019 год</v>
      </c>
      <c r="B5" s="473"/>
      <c r="C5" s="77"/>
      <c r="D5" s="77"/>
      <c r="E5" s="77"/>
      <c r="F5" s="77"/>
      <c r="G5" s="77"/>
      <c r="H5" s="77"/>
    </row>
    <row r="6" spans="1:8" ht="18.75" x14ac:dyDescent="0.3">
      <c r="A6" s="137"/>
      <c r="B6" s="137"/>
      <c r="C6" s="137"/>
      <c r="D6" s="137"/>
      <c r="E6" s="137"/>
      <c r="F6" s="137"/>
      <c r="G6" s="137"/>
      <c r="H6" s="137"/>
    </row>
    <row r="7" spans="1:8" ht="18.75" x14ac:dyDescent="0.25">
      <c r="A7" s="363" t="s">
        <v>7</v>
      </c>
      <c r="B7" s="363"/>
      <c r="C7" s="136"/>
      <c r="D7" s="136"/>
      <c r="E7" s="136"/>
      <c r="F7" s="136"/>
      <c r="G7" s="136"/>
      <c r="H7" s="136"/>
    </row>
    <row r="8" spans="1:8" ht="18.75" x14ac:dyDescent="0.25">
      <c r="A8" s="136"/>
      <c r="B8" s="136"/>
      <c r="C8" s="136"/>
      <c r="D8" s="136"/>
      <c r="E8" s="136"/>
      <c r="F8" s="136"/>
      <c r="G8" s="136"/>
      <c r="H8" s="136"/>
    </row>
    <row r="9" spans="1:8" x14ac:dyDescent="0.25">
      <c r="A9" s="364" t="str">
        <f>'1. паспорт местоположение'!A9:C9</f>
        <v>Акционерное общество "Янтарьэнерго" ДЗО  ПАО "Россети"</v>
      </c>
      <c r="B9" s="364"/>
      <c r="C9" s="134"/>
      <c r="D9" s="134"/>
      <c r="E9" s="134"/>
      <c r="F9" s="134"/>
      <c r="G9" s="134"/>
      <c r="H9" s="134"/>
    </row>
    <row r="10" spans="1:8" x14ac:dyDescent="0.25">
      <c r="A10" s="368" t="s">
        <v>6</v>
      </c>
      <c r="B10" s="368"/>
      <c r="C10" s="135"/>
      <c r="D10" s="135"/>
      <c r="E10" s="135"/>
      <c r="F10" s="135"/>
      <c r="G10" s="135"/>
      <c r="H10" s="135"/>
    </row>
    <row r="11" spans="1:8" ht="18.75" x14ac:dyDescent="0.25">
      <c r="A11" s="136"/>
      <c r="B11" s="136"/>
      <c r="C11" s="136"/>
      <c r="D11" s="136"/>
      <c r="E11" s="136"/>
      <c r="F11" s="136"/>
      <c r="G11" s="136"/>
      <c r="H11" s="136"/>
    </row>
    <row r="12" spans="1:8" x14ac:dyDescent="0.25">
      <c r="A12" s="364" t="str">
        <f>'1. паспорт местоположение'!A12:C12</f>
        <v>J_140-109</v>
      </c>
      <c r="B12" s="364"/>
      <c r="C12" s="134"/>
      <c r="D12" s="134"/>
      <c r="E12" s="134"/>
      <c r="F12" s="134"/>
      <c r="G12" s="134"/>
      <c r="H12" s="134"/>
    </row>
    <row r="13" spans="1:8" x14ac:dyDescent="0.25">
      <c r="A13" s="368" t="s">
        <v>5</v>
      </c>
      <c r="B13" s="368"/>
      <c r="C13" s="135"/>
      <c r="D13" s="135"/>
      <c r="E13" s="135"/>
      <c r="F13" s="135"/>
      <c r="G13" s="135"/>
      <c r="H13" s="135"/>
    </row>
    <row r="14" spans="1:8" ht="18.75" x14ac:dyDescent="0.25">
      <c r="A14" s="10"/>
      <c r="B14" s="10"/>
      <c r="C14" s="10"/>
      <c r="D14" s="10"/>
      <c r="E14" s="10"/>
      <c r="F14" s="10"/>
      <c r="G14" s="10"/>
      <c r="H14" s="10"/>
    </row>
    <row r="15" spans="1:8" x14ac:dyDescent="0.25">
      <c r="A15" s="396" t="str">
        <f>'1. паспорт местоположение'!A15:C15</f>
        <v>Приобретение электросетевого комплекса ул.1-ая Большая окружная, с/т г.Калининград (дог.безв 3509 от 10.04.2019 гр. Щербанев В.М.)</v>
      </c>
      <c r="B15" s="396"/>
      <c r="C15" s="134"/>
      <c r="D15" s="134"/>
      <c r="E15" s="134"/>
      <c r="F15" s="134"/>
      <c r="G15" s="134"/>
      <c r="H15" s="134"/>
    </row>
    <row r="16" spans="1:8" x14ac:dyDescent="0.25">
      <c r="A16" s="368" t="s">
        <v>4</v>
      </c>
      <c r="B16" s="368"/>
      <c r="C16" s="135"/>
      <c r="D16" s="135"/>
      <c r="E16" s="135"/>
      <c r="F16" s="135"/>
      <c r="G16" s="135"/>
      <c r="H16" s="135"/>
    </row>
    <row r="17" spans="1:3" x14ac:dyDescent="0.25">
      <c r="B17" s="109"/>
    </row>
    <row r="18" spans="1:3" x14ac:dyDescent="0.25">
      <c r="A18" s="471" t="s">
        <v>487</v>
      </c>
      <c r="B18" s="472"/>
    </row>
    <row r="19" spans="1:3" x14ac:dyDescent="0.25">
      <c r="B19" s="41"/>
    </row>
    <row r="20" spans="1:3" ht="16.5" thickBot="1" x14ac:dyDescent="0.3">
      <c r="B20" s="110"/>
    </row>
    <row r="21" spans="1:3" ht="30.75" thickBot="1" x14ac:dyDescent="0.3">
      <c r="A21" s="111" t="s">
        <v>359</v>
      </c>
      <c r="B21" s="112" t="str">
        <f>A15</f>
        <v>Приобретение электросетевого комплекса ул.1-ая Большая окружная, с/т г.Калининград (дог.безв 3509 от 10.04.2019 гр. Щербанев В.М.)</v>
      </c>
    </row>
    <row r="22" spans="1:3" ht="16.5" thickBot="1" x14ac:dyDescent="0.3">
      <c r="A22" s="111" t="s">
        <v>360</v>
      </c>
      <c r="B22" s="112"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111" t="s">
        <v>325</v>
      </c>
      <c r="B23" s="113" t="s">
        <v>577</v>
      </c>
    </row>
    <row r="24" spans="1:3" ht="16.5" thickBot="1" x14ac:dyDescent="0.3">
      <c r="A24" s="111" t="s">
        <v>361</v>
      </c>
      <c r="B24" s="113" t="s">
        <v>592</v>
      </c>
      <c r="C24" s="108" t="s">
        <v>532</v>
      </c>
    </row>
    <row r="25" spans="1:3" ht="16.5" thickBot="1" x14ac:dyDescent="0.3">
      <c r="A25" s="114" t="s">
        <v>362</v>
      </c>
      <c r="B25" s="112">
        <v>2019</v>
      </c>
    </row>
    <row r="26" spans="1:3" ht="16.5" thickBot="1" x14ac:dyDescent="0.3">
      <c r="A26" s="199" t="s">
        <v>363</v>
      </c>
      <c r="B26" s="242" t="s">
        <v>578</v>
      </c>
    </row>
    <row r="27" spans="1:3" ht="29.25" thickBot="1" x14ac:dyDescent="0.3">
      <c r="A27" s="201" t="s">
        <v>536</v>
      </c>
      <c r="B27" s="231">
        <f>'6.2. Паспорт фин осв ввод'!AC52</f>
        <v>1.024E-3</v>
      </c>
    </row>
    <row r="28" spans="1:3" ht="16.5" thickBot="1" x14ac:dyDescent="0.3">
      <c r="A28" s="200" t="s">
        <v>364</v>
      </c>
      <c r="B28" s="200" t="s">
        <v>579</v>
      </c>
    </row>
    <row r="29" spans="1:3" ht="29.25" thickBot="1" x14ac:dyDescent="0.3">
      <c r="A29" s="122" t="s">
        <v>535</v>
      </c>
      <c r="B29" s="231">
        <f>B30</f>
        <v>1.024E-3</v>
      </c>
    </row>
    <row r="30" spans="1:3" ht="29.25" thickBot="1" x14ac:dyDescent="0.3">
      <c r="A30" s="122" t="s">
        <v>537</v>
      </c>
      <c r="B30" s="231">
        <f>B32+B41+B50</f>
        <v>1.024E-3</v>
      </c>
    </row>
    <row r="31" spans="1:3" ht="16.5" thickBot="1" x14ac:dyDescent="0.3">
      <c r="A31" s="117" t="s">
        <v>365</v>
      </c>
      <c r="B31" s="157"/>
    </row>
    <row r="32" spans="1:3" ht="29.25" thickBot="1" x14ac:dyDescent="0.3">
      <c r="A32" s="122" t="s">
        <v>366</v>
      </c>
      <c r="B32" s="231">
        <f>SUMIF(C33:C40,1,B33:B40)</f>
        <v>0</v>
      </c>
    </row>
    <row r="33" spans="1:3" ht="16.5" thickBot="1" x14ac:dyDescent="0.3">
      <c r="A33" s="200" t="s">
        <v>367</v>
      </c>
      <c r="B33" s="157"/>
      <c r="C33" s="108">
        <v>1</v>
      </c>
    </row>
    <row r="34" spans="1:3" ht="16.5" thickBot="1" x14ac:dyDescent="0.3">
      <c r="A34" s="200" t="s">
        <v>368</v>
      </c>
      <c r="B34" s="157"/>
    </row>
    <row r="35" spans="1:3" ht="16.5" thickBot="1" x14ac:dyDescent="0.3">
      <c r="A35" s="200" t="s">
        <v>369</v>
      </c>
      <c r="B35" s="157"/>
      <c r="C35" s="108">
        <v>10</v>
      </c>
    </row>
    <row r="36" spans="1:3" ht="16.5" thickBot="1" x14ac:dyDescent="0.3">
      <c r="A36" s="200" t="s">
        <v>370</v>
      </c>
      <c r="B36" s="157"/>
      <c r="C36" s="108">
        <v>20</v>
      </c>
    </row>
    <row r="37" spans="1:3" ht="16.5" thickBot="1" x14ac:dyDescent="0.3">
      <c r="A37" s="117" t="s">
        <v>367</v>
      </c>
      <c r="B37" s="157"/>
      <c r="C37" s="108">
        <v>1</v>
      </c>
    </row>
    <row r="38" spans="1:3" ht="16.5" thickBot="1" x14ac:dyDescent="0.3">
      <c r="A38" s="117" t="s">
        <v>368</v>
      </c>
      <c r="B38" s="157"/>
    </row>
    <row r="39" spans="1:3" ht="16.5" thickBot="1" x14ac:dyDescent="0.3">
      <c r="A39" s="117" t="s">
        <v>369</v>
      </c>
      <c r="B39" s="157"/>
      <c r="C39" s="108">
        <v>10</v>
      </c>
    </row>
    <row r="40" spans="1:3" ht="16.5" thickBot="1" x14ac:dyDescent="0.3">
      <c r="A40" s="117" t="s">
        <v>370</v>
      </c>
      <c r="B40" s="157"/>
      <c r="C40" s="108">
        <v>20</v>
      </c>
    </row>
    <row r="41" spans="1:3" ht="29.25" thickBot="1" x14ac:dyDescent="0.3">
      <c r="A41" s="122" t="s">
        <v>371</v>
      </c>
      <c r="B41" s="231">
        <f>SUMIF(C42:C49,2,B42:B49)</f>
        <v>0</v>
      </c>
    </row>
    <row r="42" spans="1:3" ht="16.5" thickBot="1" x14ac:dyDescent="0.3">
      <c r="A42" s="200" t="s">
        <v>367</v>
      </c>
      <c r="B42" s="157"/>
      <c r="C42" s="108">
        <v>2</v>
      </c>
    </row>
    <row r="43" spans="1:3" ht="16.5" thickBot="1" x14ac:dyDescent="0.3">
      <c r="A43" s="200" t="s">
        <v>368</v>
      </c>
      <c r="B43" s="157"/>
    </row>
    <row r="44" spans="1:3" ht="16.5" thickBot="1" x14ac:dyDescent="0.3">
      <c r="A44" s="200" t="s">
        <v>369</v>
      </c>
      <c r="B44" s="157"/>
      <c r="C44" s="108">
        <v>10</v>
      </c>
    </row>
    <row r="45" spans="1:3" ht="16.5" thickBot="1" x14ac:dyDescent="0.3">
      <c r="A45" s="200" t="s">
        <v>370</v>
      </c>
      <c r="B45" s="157"/>
      <c r="C45" s="108">
        <v>20</v>
      </c>
    </row>
    <row r="46" spans="1:3" ht="16.5" thickBot="1" x14ac:dyDescent="0.3">
      <c r="A46" s="117" t="s">
        <v>367</v>
      </c>
      <c r="B46" s="157"/>
      <c r="C46" s="108">
        <v>2</v>
      </c>
    </row>
    <row r="47" spans="1:3" ht="16.5" thickBot="1" x14ac:dyDescent="0.3">
      <c r="A47" s="117" t="s">
        <v>368</v>
      </c>
      <c r="B47" s="157"/>
    </row>
    <row r="48" spans="1:3" ht="16.5" thickBot="1" x14ac:dyDescent="0.3">
      <c r="A48" s="117" t="s">
        <v>369</v>
      </c>
      <c r="B48" s="157"/>
      <c r="C48" s="108">
        <v>10</v>
      </c>
    </row>
    <row r="49" spans="1:3" ht="16.5" thickBot="1" x14ac:dyDescent="0.3">
      <c r="A49" s="117" t="s">
        <v>370</v>
      </c>
      <c r="B49" s="157"/>
      <c r="C49" s="108">
        <v>20</v>
      </c>
    </row>
    <row r="50" spans="1:3" ht="29.25" thickBot="1" x14ac:dyDescent="0.3">
      <c r="A50" s="122" t="s">
        <v>372</v>
      </c>
      <c r="B50" s="231">
        <f>SUMIF(C51:C58,3,B51:B58)</f>
        <v>1.024E-3</v>
      </c>
    </row>
    <row r="51" spans="1:3" ht="30.75" thickBot="1" x14ac:dyDescent="0.3">
      <c r="A51" s="339" t="s">
        <v>593</v>
      </c>
      <c r="B51" s="340">
        <v>1.024E-3</v>
      </c>
      <c r="C51" s="108">
        <v>3</v>
      </c>
    </row>
    <row r="52" spans="1:3" ht="16.5" thickBot="1" x14ac:dyDescent="0.3">
      <c r="A52" s="117" t="s">
        <v>368</v>
      </c>
      <c r="B52" s="228">
        <f>B51/B27</f>
        <v>1</v>
      </c>
    </row>
    <row r="53" spans="1:3" ht="16.5" thickBot="1" x14ac:dyDescent="0.3">
      <c r="A53" s="117" t="s">
        <v>369</v>
      </c>
      <c r="B53" s="231"/>
      <c r="C53" s="108">
        <v>10</v>
      </c>
    </row>
    <row r="54" spans="1:3" ht="16.5" thickBot="1" x14ac:dyDescent="0.3">
      <c r="A54" s="117" t="s">
        <v>370</v>
      </c>
      <c r="B54" s="231"/>
      <c r="C54" s="108">
        <v>20</v>
      </c>
    </row>
    <row r="55" spans="1:3" ht="16.5" thickBot="1" x14ac:dyDescent="0.3">
      <c r="A55" s="117" t="s">
        <v>367</v>
      </c>
      <c r="B55" s="157"/>
      <c r="C55" s="108">
        <v>3</v>
      </c>
    </row>
    <row r="56" spans="1:3" ht="16.5" thickBot="1" x14ac:dyDescent="0.3">
      <c r="A56" s="117" t="s">
        <v>368</v>
      </c>
      <c r="B56" s="157"/>
    </row>
    <row r="57" spans="1:3" ht="16.5" thickBot="1" x14ac:dyDescent="0.3">
      <c r="A57" s="117" t="s">
        <v>369</v>
      </c>
      <c r="B57" s="157"/>
      <c r="C57" s="108">
        <v>10</v>
      </c>
    </row>
    <row r="58" spans="1:3" ht="16.5" thickBot="1" x14ac:dyDescent="0.3">
      <c r="A58" s="117" t="s">
        <v>370</v>
      </c>
      <c r="B58" s="157"/>
      <c r="C58" s="108">
        <v>20</v>
      </c>
    </row>
    <row r="59" spans="1:3" ht="29.25" thickBot="1" x14ac:dyDescent="0.3">
      <c r="A59" s="116" t="s">
        <v>373</v>
      </c>
      <c r="B59" s="228">
        <f>B27/B30</f>
        <v>1</v>
      </c>
    </row>
    <row r="60" spans="1:3" ht="16.5" thickBot="1" x14ac:dyDescent="0.3">
      <c r="A60" s="118" t="s">
        <v>365</v>
      </c>
      <c r="B60" s="158"/>
    </row>
    <row r="61" spans="1:3" ht="16.5" thickBot="1" x14ac:dyDescent="0.3">
      <c r="A61" s="118" t="s">
        <v>374</v>
      </c>
      <c r="B61" s="158"/>
    </row>
    <row r="62" spans="1:3" ht="16.5" thickBot="1" x14ac:dyDescent="0.3">
      <c r="A62" s="118" t="s">
        <v>375</v>
      </c>
      <c r="B62" s="228">
        <f>B59</f>
        <v>1</v>
      </c>
    </row>
    <row r="63" spans="1:3" ht="16.5" thickBot="1" x14ac:dyDescent="0.3">
      <c r="A63" s="118" t="s">
        <v>376</v>
      </c>
      <c r="B63" s="158"/>
    </row>
    <row r="64" spans="1:3" ht="16.5" thickBot="1" x14ac:dyDescent="0.3">
      <c r="A64" s="114" t="s">
        <v>377</v>
      </c>
      <c r="B64" s="229">
        <f>B65/B27</f>
        <v>0</v>
      </c>
    </row>
    <row r="65" spans="1:2" ht="16.5" thickBot="1" x14ac:dyDescent="0.3">
      <c r="A65" s="114" t="s">
        <v>378</v>
      </c>
      <c r="B65" s="231">
        <f>SUMIF(C33:C58,10,B33:B58)</f>
        <v>0</v>
      </c>
    </row>
    <row r="66" spans="1:2" ht="16.5" thickBot="1" x14ac:dyDescent="0.3">
      <c r="A66" s="114" t="s">
        <v>379</v>
      </c>
      <c r="B66" s="229">
        <f>B67/B27</f>
        <v>0</v>
      </c>
    </row>
    <row r="67" spans="1:2" ht="16.5" thickBot="1" x14ac:dyDescent="0.3">
      <c r="A67" s="115" t="s">
        <v>380</v>
      </c>
      <c r="B67" s="232">
        <f>SUMIF(C33:C58,20,B33:B58)</f>
        <v>0</v>
      </c>
    </row>
    <row r="68" spans="1:2" ht="15.75" customHeight="1" x14ac:dyDescent="0.25">
      <c r="A68" s="116" t="s">
        <v>381</v>
      </c>
      <c r="B68" s="118" t="s">
        <v>382</v>
      </c>
    </row>
    <row r="69" spans="1:2" x14ac:dyDescent="0.25">
      <c r="A69" s="120" t="s">
        <v>383</v>
      </c>
      <c r="B69" s="120" t="s">
        <v>506</v>
      </c>
    </row>
    <row r="70" spans="1:2" x14ac:dyDescent="0.25">
      <c r="A70" s="120" t="s">
        <v>384</v>
      </c>
      <c r="B70" s="120"/>
    </row>
    <row r="71" spans="1:2" x14ac:dyDescent="0.25">
      <c r="A71" s="120" t="s">
        <v>385</v>
      </c>
      <c r="B71" s="120"/>
    </row>
    <row r="72" spans="1:2" x14ac:dyDescent="0.25">
      <c r="A72" s="120" t="s">
        <v>386</v>
      </c>
      <c r="B72" s="120"/>
    </row>
    <row r="73" spans="1:2" ht="33" customHeight="1" thickBot="1" x14ac:dyDescent="0.3">
      <c r="A73" s="121" t="s">
        <v>387</v>
      </c>
      <c r="B73" s="121" t="str">
        <f>A51</f>
        <v>договор безвозмездной передачи электросетевого имущества от 10.04.2019 № 3509 в ценах 2019 года без НДС</v>
      </c>
    </row>
    <row r="74" spans="1:2" ht="30.75" thickBot="1" x14ac:dyDescent="0.3">
      <c r="A74" s="118" t="s">
        <v>388</v>
      </c>
      <c r="B74" s="119"/>
    </row>
    <row r="75" spans="1:2" ht="29.25" thickBot="1" x14ac:dyDescent="0.3">
      <c r="A75" s="114" t="s">
        <v>389</v>
      </c>
      <c r="B75" s="234">
        <v>0</v>
      </c>
    </row>
    <row r="76" spans="1:2" ht="16.5" thickBot="1" x14ac:dyDescent="0.3">
      <c r="A76" s="118" t="s">
        <v>365</v>
      </c>
      <c r="B76" s="124"/>
    </row>
    <row r="77" spans="1:2" ht="16.5" thickBot="1" x14ac:dyDescent="0.3">
      <c r="A77" s="118" t="s">
        <v>390</v>
      </c>
      <c r="B77" s="234">
        <v>0</v>
      </c>
    </row>
    <row r="78" spans="1:2" ht="16.5" thickBot="1" x14ac:dyDescent="0.3">
      <c r="A78" s="118" t="s">
        <v>391</v>
      </c>
      <c r="B78" s="235">
        <v>0</v>
      </c>
    </row>
    <row r="79" spans="1:2" ht="16.5" thickBot="1" x14ac:dyDescent="0.3">
      <c r="A79" s="125" t="s">
        <v>392</v>
      </c>
      <c r="B79" s="138" t="s">
        <v>530</v>
      </c>
    </row>
    <row r="80" spans="1:2" ht="16.5" thickBot="1" x14ac:dyDescent="0.3">
      <c r="A80" s="114" t="s">
        <v>393</v>
      </c>
      <c r="B80" s="123"/>
    </row>
    <row r="81" spans="1:2" ht="16.5" thickBot="1" x14ac:dyDescent="0.3">
      <c r="A81" s="120" t="s">
        <v>394</v>
      </c>
      <c r="B81" s="126" t="s">
        <v>530</v>
      </c>
    </row>
    <row r="82" spans="1:2" ht="16.5" thickBot="1" x14ac:dyDescent="0.3">
      <c r="A82" s="120" t="s">
        <v>395</v>
      </c>
      <c r="B82" s="126" t="s">
        <v>530</v>
      </c>
    </row>
    <row r="83" spans="1:2" ht="16.5" thickBot="1" x14ac:dyDescent="0.3">
      <c r="A83" s="120" t="s">
        <v>396</v>
      </c>
      <c r="B83" s="126" t="s">
        <v>530</v>
      </c>
    </row>
    <row r="84" spans="1:2" ht="29.25" thickBot="1" x14ac:dyDescent="0.3">
      <c r="A84" s="350" t="s">
        <v>397</v>
      </c>
      <c r="B84" s="349" t="s">
        <v>578</v>
      </c>
    </row>
    <row r="85" spans="1:2" ht="28.5" x14ac:dyDescent="0.25">
      <c r="A85" s="116" t="s">
        <v>398</v>
      </c>
      <c r="B85" s="468" t="s">
        <v>530</v>
      </c>
    </row>
    <row r="86" spans="1:2" x14ac:dyDescent="0.25">
      <c r="A86" s="120" t="s">
        <v>399</v>
      </c>
      <c r="B86" s="469"/>
    </row>
    <row r="87" spans="1:2" x14ac:dyDescent="0.25">
      <c r="A87" s="120" t="s">
        <v>400</v>
      </c>
      <c r="B87" s="469"/>
    </row>
    <row r="88" spans="1:2" x14ac:dyDescent="0.25">
      <c r="A88" s="120" t="s">
        <v>401</v>
      </c>
      <c r="B88" s="469"/>
    </row>
    <row r="89" spans="1:2" x14ac:dyDescent="0.25">
      <c r="A89" s="120" t="s">
        <v>402</v>
      </c>
      <c r="B89" s="469"/>
    </row>
    <row r="90" spans="1:2" ht="16.5" thickBot="1" x14ac:dyDescent="0.3">
      <c r="A90" s="127" t="s">
        <v>403</v>
      </c>
      <c r="B90" s="470"/>
    </row>
    <row r="93" spans="1:2" x14ac:dyDescent="0.25">
      <c r="A93" s="128"/>
      <c r="B93" s="129"/>
    </row>
    <row r="94" spans="1:2" x14ac:dyDescent="0.25">
      <c r="B94" s="130"/>
    </row>
    <row r="95" spans="1:2" x14ac:dyDescent="0.25">
      <c r="B95" s="131"/>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A4"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54" t="str">
        <f>'1. паспорт местоположение'!A5:C5</f>
        <v>Год раскрытия информации: 2019 год</v>
      </c>
      <c r="B4" s="354"/>
      <c r="C4" s="354"/>
      <c r="D4" s="354"/>
      <c r="E4" s="354"/>
      <c r="F4" s="354"/>
      <c r="G4" s="354"/>
      <c r="H4" s="354"/>
      <c r="I4" s="354"/>
      <c r="J4" s="354"/>
      <c r="K4" s="354"/>
      <c r="L4" s="354"/>
      <c r="M4" s="354"/>
      <c r="N4" s="354"/>
      <c r="O4" s="354"/>
      <c r="P4" s="354"/>
      <c r="Q4" s="354"/>
      <c r="R4" s="354"/>
      <c r="S4" s="354"/>
    </row>
    <row r="5" spans="1:28" s="11" customFormat="1" ht="15.75" x14ac:dyDescent="0.2">
      <c r="A5" s="16"/>
    </row>
    <row r="6" spans="1:28" s="11" customFormat="1" ht="18.75" x14ac:dyDescent="0.2">
      <c r="A6" s="363" t="s">
        <v>7</v>
      </c>
      <c r="B6" s="363"/>
      <c r="C6" s="363"/>
      <c r="D6" s="363"/>
      <c r="E6" s="363"/>
      <c r="F6" s="363"/>
      <c r="G6" s="363"/>
      <c r="H6" s="363"/>
      <c r="I6" s="363"/>
      <c r="J6" s="363"/>
      <c r="K6" s="363"/>
      <c r="L6" s="363"/>
      <c r="M6" s="363"/>
      <c r="N6" s="363"/>
      <c r="O6" s="363"/>
      <c r="P6" s="363"/>
      <c r="Q6" s="363"/>
      <c r="R6" s="363"/>
      <c r="S6" s="363"/>
      <c r="T6" s="12"/>
      <c r="U6" s="12"/>
      <c r="V6" s="12"/>
      <c r="W6" s="12"/>
      <c r="X6" s="12"/>
      <c r="Y6" s="12"/>
      <c r="Z6" s="12"/>
      <c r="AA6" s="12"/>
      <c r="AB6" s="12"/>
    </row>
    <row r="7" spans="1:28" s="11" customFormat="1" ht="18.75" x14ac:dyDescent="0.2">
      <c r="A7" s="363"/>
      <c r="B7" s="363"/>
      <c r="C7" s="363"/>
      <c r="D7" s="363"/>
      <c r="E7" s="363"/>
      <c r="F7" s="363"/>
      <c r="G7" s="363"/>
      <c r="H7" s="363"/>
      <c r="I7" s="363"/>
      <c r="J7" s="363"/>
      <c r="K7" s="363"/>
      <c r="L7" s="363"/>
      <c r="M7" s="363"/>
      <c r="N7" s="363"/>
      <c r="O7" s="363"/>
      <c r="P7" s="363"/>
      <c r="Q7" s="363"/>
      <c r="R7" s="363"/>
      <c r="S7" s="363"/>
      <c r="T7" s="12"/>
      <c r="U7" s="12"/>
      <c r="V7" s="12"/>
      <c r="W7" s="12"/>
      <c r="X7" s="12"/>
      <c r="Y7" s="12"/>
      <c r="Z7" s="12"/>
      <c r="AA7" s="12"/>
      <c r="AB7" s="12"/>
    </row>
    <row r="8" spans="1:28" s="11" customFormat="1" ht="18.75" x14ac:dyDescent="0.2">
      <c r="A8" s="364" t="str">
        <f>'1. паспорт местоположение'!A9:C9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12"/>
      <c r="U8" s="12"/>
      <c r="V8" s="12"/>
      <c r="W8" s="12"/>
      <c r="X8" s="12"/>
      <c r="Y8" s="12"/>
      <c r="Z8" s="12"/>
      <c r="AA8" s="12"/>
      <c r="AB8" s="12"/>
    </row>
    <row r="9" spans="1:28" s="11" customFormat="1" ht="18.75" x14ac:dyDescent="0.2">
      <c r="A9" s="368" t="s">
        <v>6</v>
      </c>
      <c r="B9" s="368"/>
      <c r="C9" s="368"/>
      <c r="D9" s="368"/>
      <c r="E9" s="368"/>
      <c r="F9" s="368"/>
      <c r="G9" s="368"/>
      <c r="H9" s="368"/>
      <c r="I9" s="368"/>
      <c r="J9" s="368"/>
      <c r="K9" s="368"/>
      <c r="L9" s="368"/>
      <c r="M9" s="368"/>
      <c r="N9" s="368"/>
      <c r="O9" s="368"/>
      <c r="P9" s="368"/>
      <c r="Q9" s="368"/>
      <c r="R9" s="368"/>
      <c r="S9" s="368"/>
      <c r="T9" s="12"/>
      <c r="U9" s="12"/>
      <c r="V9" s="12"/>
      <c r="W9" s="12"/>
      <c r="X9" s="12"/>
      <c r="Y9" s="12"/>
      <c r="Z9" s="12"/>
      <c r="AA9" s="12"/>
      <c r="AB9" s="12"/>
    </row>
    <row r="10" spans="1:28" s="11" customFormat="1" ht="18.75" x14ac:dyDescent="0.2">
      <c r="A10" s="363"/>
      <c r="B10" s="363"/>
      <c r="C10" s="363"/>
      <c r="D10" s="363"/>
      <c r="E10" s="363"/>
      <c r="F10" s="363"/>
      <c r="G10" s="363"/>
      <c r="H10" s="363"/>
      <c r="I10" s="363"/>
      <c r="J10" s="363"/>
      <c r="K10" s="363"/>
      <c r="L10" s="363"/>
      <c r="M10" s="363"/>
      <c r="N10" s="363"/>
      <c r="O10" s="363"/>
      <c r="P10" s="363"/>
      <c r="Q10" s="363"/>
      <c r="R10" s="363"/>
      <c r="S10" s="363"/>
      <c r="T10" s="12"/>
      <c r="U10" s="12"/>
      <c r="V10" s="12"/>
      <c r="W10" s="12"/>
      <c r="X10" s="12"/>
      <c r="Y10" s="12"/>
      <c r="Z10" s="12"/>
      <c r="AA10" s="12"/>
      <c r="AB10" s="12"/>
    </row>
    <row r="11" spans="1:28" s="11" customFormat="1" ht="18.75" x14ac:dyDescent="0.2">
      <c r="A11" s="364" t="str">
        <f>'1. паспорт местоположение'!A12:C12</f>
        <v>J_140-109</v>
      </c>
      <c r="B11" s="364"/>
      <c r="C11" s="364"/>
      <c r="D11" s="364"/>
      <c r="E11" s="364"/>
      <c r="F11" s="364"/>
      <c r="G11" s="364"/>
      <c r="H11" s="364"/>
      <c r="I11" s="364"/>
      <c r="J11" s="364"/>
      <c r="K11" s="364"/>
      <c r="L11" s="364"/>
      <c r="M11" s="364"/>
      <c r="N11" s="364"/>
      <c r="O11" s="364"/>
      <c r="P11" s="364"/>
      <c r="Q11" s="364"/>
      <c r="R11" s="364"/>
      <c r="S11" s="364"/>
      <c r="T11" s="12"/>
      <c r="U11" s="12"/>
      <c r="V11" s="12"/>
      <c r="W11" s="12"/>
      <c r="X11" s="12"/>
      <c r="Y11" s="12"/>
      <c r="Z11" s="12"/>
      <c r="AA11" s="12"/>
      <c r="AB11" s="12"/>
    </row>
    <row r="12" spans="1:28" s="11"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2"/>
      <c r="U12" s="12"/>
      <c r="V12" s="12"/>
      <c r="W12" s="12"/>
      <c r="X12" s="12"/>
      <c r="Y12" s="12"/>
      <c r="Z12" s="12"/>
      <c r="AA12" s="12"/>
      <c r="AB12" s="12"/>
    </row>
    <row r="13" spans="1:28" s="8"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9"/>
      <c r="U13" s="9"/>
      <c r="V13" s="9"/>
      <c r="W13" s="9"/>
      <c r="X13" s="9"/>
      <c r="Y13" s="9"/>
      <c r="Z13" s="9"/>
      <c r="AA13" s="9"/>
      <c r="AB13" s="9"/>
    </row>
    <row r="14" spans="1:28" s="2" customFormat="1" ht="12" x14ac:dyDescent="0.2">
      <c r="A14" s="364" t="str">
        <f>'1. паспорт местоположение'!A15:C15</f>
        <v>Приобретение электросетевого комплекса ул.1-ая Большая окружная, с/т г.Калининград (дог.безв 3509 от 10.04.2019 гр. Щербанев В.М.)</v>
      </c>
      <c r="B14" s="364"/>
      <c r="C14" s="364"/>
      <c r="D14" s="364"/>
      <c r="E14" s="364"/>
      <c r="F14" s="364"/>
      <c r="G14" s="364"/>
      <c r="H14" s="364"/>
      <c r="I14" s="364"/>
      <c r="J14" s="364"/>
      <c r="K14" s="364"/>
      <c r="L14" s="364"/>
      <c r="M14" s="364"/>
      <c r="N14" s="364"/>
      <c r="O14" s="364"/>
      <c r="P14" s="364"/>
      <c r="Q14" s="364"/>
      <c r="R14" s="364"/>
      <c r="S14" s="364"/>
      <c r="T14" s="7"/>
      <c r="U14" s="7"/>
      <c r="V14" s="7"/>
      <c r="W14" s="7"/>
      <c r="X14" s="7"/>
      <c r="Y14" s="7"/>
      <c r="Z14" s="7"/>
      <c r="AA14" s="7"/>
      <c r="AB14" s="7"/>
    </row>
    <row r="15" spans="1:28" s="2"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5"/>
      <c r="U15" s="5"/>
      <c r="V15" s="5"/>
      <c r="W15" s="5"/>
      <c r="X15" s="5"/>
      <c r="Y15" s="5"/>
      <c r="Z15" s="5"/>
      <c r="AA15" s="5"/>
      <c r="AB15" s="5"/>
    </row>
    <row r="16" spans="1:28" s="2"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3"/>
      <c r="U16" s="3"/>
      <c r="V16" s="3"/>
      <c r="W16" s="3"/>
      <c r="X16" s="3"/>
      <c r="Y16" s="3"/>
    </row>
    <row r="17" spans="1:28" s="2" customFormat="1" ht="45.75" customHeight="1" x14ac:dyDescent="0.2">
      <c r="A17" s="371" t="s">
        <v>462</v>
      </c>
      <c r="B17" s="371"/>
      <c r="C17" s="371"/>
      <c r="D17" s="371"/>
      <c r="E17" s="371"/>
      <c r="F17" s="371"/>
      <c r="G17" s="371"/>
      <c r="H17" s="371"/>
      <c r="I17" s="371"/>
      <c r="J17" s="371"/>
      <c r="K17" s="371"/>
      <c r="L17" s="371"/>
      <c r="M17" s="371"/>
      <c r="N17" s="371"/>
      <c r="O17" s="371"/>
      <c r="P17" s="371"/>
      <c r="Q17" s="371"/>
      <c r="R17" s="371"/>
      <c r="S17" s="371"/>
      <c r="T17" s="6"/>
      <c r="U17" s="6"/>
      <c r="V17" s="6"/>
      <c r="W17" s="6"/>
      <c r="X17" s="6"/>
      <c r="Y17" s="6"/>
      <c r="Z17" s="6"/>
      <c r="AA17" s="6"/>
      <c r="AB17" s="6"/>
    </row>
    <row r="18" spans="1:28" s="2"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
      <c r="U18" s="3"/>
      <c r="V18" s="3"/>
      <c r="W18" s="3"/>
      <c r="X18" s="3"/>
      <c r="Y18" s="3"/>
    </row>
    <row r="19" spans="1:28" s="2" customFormat="1" ht="54" customHeight="1" x14ac:dyDescent="0.2">
      <c r="A19" s="362" t="s">
        <v>3</v>
      </c>
      <c r="B19" s="362" t="s">
        <v>94</v>
      </c>
      <c r="C19" s="365" t="s">
        <v>358</v>
      </c>
      <c r="D19" s="362" t="s">
        <v>357</v>
      </c>
      <c r="E19" s="362" t="s">
        <v>93</v>
      </c>
      <c r="F19" s="362" t="s">
        <v>92</v>
      </c>
      <c r="G19" s="362" t="s">
        <v>353</v>
      </c>
      <c r="H19" s="362" t="s">
        <v>91</v>
      </c>
      <c r="I19" s="362" t="s">
        <v>90</v>
      </c>
      <c r="J19" s="362" t="s">
        <v>89</v>
      </c>
      <c r="K19" s="362" t="s">
        <v>88</v>
      </c>
      <c r="L19" s="362" t="s">
        <v>87</v>
      </c>
      <c r="M19" s="362" t="s">
        <v>86</v>
      </c>
      <c r="N19" s="362" t="s">
        <v>85</v>
      </c>
      <c r="O19" s="362" t="s">
        <v>84</v>
      </c>
      <c r="P19" s="362" t="s">
        <v>83</v>
      </c>
      <c r="Q19" s="362" t="s">
        <v>356</v>
      </c>
      <c r="R19" s="362"/>
      <c r="S19" s="367" t="s">
        <v>456</v>
      </c>
      <c r="T19" s="3"/>
      <c r="U19" s="3"/>
      <c r="V19" s="3"/>
      <c r="W19" s="3"/>
      <c r="X19" s="3"/>
      <c r="Y19" s="3"/>
    </row>
    <row r="20" spans="1:28" s="2" customFormat="1" ht="180.75" customHeight="1" x14ac:dyDescent="0.2">
      <c r="A20" s="362"/>
      <c r="B20" s="362"/>
      <c r="C20" s="366"/>
      <c r="D20" s="362"/>
      <c r="E20" s="362"/>
      <c r="F20" s="362"/>
      <c r="G20" s="362"/>
      <c r="H20" s="362"/>
      <c r="I20" s="362"/>
      <c r="J20" s="362"/>
      <c r="K20" s="362"/>
      <c r="L20" s="362"/>
      <c r="M20" s="362"/>
      <c r="N20" s="362"/>
      <c r="O20" s="362"/>
      <c r="P20" s="362"/>
      <c r="Q20" s="39" t="s">
        <v>354</v>
      </c>
      <c r="R20" s="40" t="s">
        <v>355</v>
      </c>
      <c r="S20" s="367"/>
      <c r="T20" s="31"/>
      <c r="U20" s="31"/>
      <c r="V20" s="31"/>
      <c r="W20" s="31"/>
      <c r="X20" s="31"/>
      <c r="Y20" s="31"/>
      <c r="Z20" s="30"/>
      <c r="AA20" s="30"/>
      <c r="AB20" s="30"/>
    </row>
    <row r="21" spans="1:28" s="2" customFormat="1" ht="18.75" x14ac:dyDescent="0.2">
      <c r="A21" s="39">
        <v>1</v>
      </c>
      <c r="B21" s="44">
        <v>2</v>
      </c>
      <c r="C21" s="39">
        <v>3</v>
      </c>
      <c r="D21" s="44">
        <v>4</v>
      </c>
      <c r="E21" s="39">
        <v>5</v>
      </c>
      <c r="F21" s="44">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184" customFormat="1" ht="32.25" customHeight="1" x14ac:dyDescent="0.2">
      <c r="A22" s="193" t="s">
        <v>352</v>
      </c>
      <c r="B22" s="194" t="s">
        <v>352</v>
      </c>
      <c r="C22" s="194" t="s">
        <v>352</v>
      </c>
      <c r="D22" s="194" t="s">
        <v>352</v>
      </c>
      <c r="E22" s="194" t="s">
        <v>352</v>
      </c>
      <c r="F22" s="194" t="s">
        <v>352</v>
      </c>
      <c r="G22" s="194" t="s">
        <v>352</v>
      </c>
      <c r="H22" s="194" t="s">
        <v>352</v>
      </c>
      <c r="I22" s="194" t="s">
        <v>352</v>
      </c>
      <c r="J22" s="194" t="s">
        <v>352</v>
      </c>
      <c r="K22" s="194" t="s">
        <v>352</v>
      </c>
      <c r="L22" s="194" t="s">
        <v>352</v>
      </c>
      <c r="M22" s="194" t="s">
        <v>352</v>
      </c>
      <c r="N22" s="194" t="s">
        <v>352</v>
      </c>
      <c r="O22" s="194" t="s">
        <v>352</v>
      </c>
      <c r="P22" s="194" t="s">
        <v>352</v>
      </c>
      <c r="Q22" s="194" t="s">
        <v>352</v>
      </c>
      <c r="R22" s="195" t="s">
        <v>352</v>
      </c>
      <c r="S22" s="195" t="s">
        <v>352</v>
      </c>
      <c r="T22" s="190"/>
      <c r="U22" s="190"/>
      <c r="V22" s="190"/>
      <c r="W22" s="190"/>
      <c r="X22" s="190"/>
      <c r="Y22" s="190"/>
      <c r="Z22" s="189"/>
      <c r="AA22" s="189"/>
      <c r="AB22" s="189"/>
    </row>
    <row r="23" spans="1:28" s="182" customFormat="1" ht="20.25" customHeight="1" x14ac:dyDescent="0.25">
      <c r="A23" s="197"/>
      <c r="B23" s="194" t="s">
        <v>351</v>
      </c>
      <c r="C23" s="194"/>
      <c r="D23" s="194"/>
      <c r="E23" s="197" t="s">
        <v>352</v>
      </c>
      <c r="F23" s="197" t="s">
        <v>352</v>
      </c>
      <c r="G23" s="197" t="s">
        <v>352</v>
      </c>
      <c r="H23" s="197"/>
      <c r="I23" s="197"/>
      <c r="J23" s="197"/>
      <c r="K23" s="197"/>
      <c r="L23" s="197"/>
      <c r="M23" s="197"/>
      <c r="N23" s="197"/>
      <c r="O23" s="197"/>
      <c r="P23" s="197"/>
      <c r="Q23" s="198"/>
      <c r="R23" s="183"/>
      <c r="S23" s="183"/>
      <c r="T23" s="188"/>
      <c r="U23" s="188"/>
      <c r="V23" s="188"/>
      <c r="W23" s="188"/>
      <c r="X23" s="188"/>
      <c r="Y23" s="188"/>
      <c r="Z23" s="188"/>
      <c r="AA23" s="188"/>
      <c r="AB23" s="188"/>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A25" sqref="A25:XFD25"/>
    </sheetView>
  </sheetViews>
  <sheetFormatPr defaultColWidth="10.7109375" defaultRowHeight="15.75" x14ac:dyDescent="0.25"/>
  <cols>
    <col min="1" max="1" width="9.5703125" style="47" customWidth="1"/>
    <col min="2" max="2" width="8.7109375" style="47" customWidth="1"/>
    <col min="3" max="3" width="16.28515625" style="47" customWidth="1"/>
    <col min="4" max="4" width="21.8554687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54" t="str">
        <f>'1. паспорт местоположение'!A5:C5</f>
        <v>Год раскрытия информации: 2019 год</v>
      </c>
      <c r="B6" s="354"/>
      <c r="C6" s="354"/>
      <c r="D6" s="354"/>
      <c r="E6" s="354"/>
      <c r="F6" s="354"/>
      <c r="G6" s="354"/>
      <c r="H6" s="354"/>
      <c r="I6" s="354"/>
      <c r="J6" s="354"/>
      <c r="K6" s="354"/>
      <c r="L6" s="354"/>
      <c r="M6" s="354"/>
      <c r="N6" s="354"/>
      <c r="O6" s="354"/>
      <c r="P6" s="354"/>
      <c r="Q6" s="354"/>
      <c r="R6" s="354"/>
      <c r="S6" s="354"/>
      <c r="T6" s="354"/>
    </row>
    <row r="7" spans="1:20" s="11" customFormat="1" x14ac:dyDescent="0.2">
      <c r="A7" s="16"/>
      <c r="H7" s="15"/>
    </row>
    <row r="8" spans="1:20" s="11"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1"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1" customFormat="1" ht="18.75" customHeight="1" x14ac:dyDescent="0.2">
      <c r="A10" s="364" t="str">
        <f>'1. паспорт местоположение'!A9:C9</f>
        <v>Акционерное общество "Янтарьэнерго" ДЗО  ПАО "Россети"</v>
      </c>
      <c r="B10" s="364"/>
      <c r="C10" s="364"/>
      <c r="D10" s="364"/>
      <c r="E10" s="364"/>
      <c r="F10" s="364"/>
      <c r="G10" s="364"/>
      <c r="H10" s="364"/>
      <c r="I10" s="364"/>
      <c r="J10" s="364"/>
      <c r="K10" s="364"/>
      <c r="L10" s="364"/>
      <c r="M10" s="364"/>
      <c r="N10" s="364"/>
      <c r="O10" s="364"/>
      <c r="P10" s="364"/>
      <c r="Q10" s="364"/>
      <c r="R10" s="364"/>
      <c r="S10" s="364"/>
      <c r="T10" s="364"/>
    </row>
    <row r="11" spans="1:20" s="11"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1"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1" customFormat="1" ht="18.75" customHeight="1" x14ac:dyDescent="0.2">
      <c r="A13" s="364" t="str">
        <f>'1. паспорт местоположение'!A12:C12</f>
        <v>J_140-109</v>
      </c>
      <c r="B13" s="364"/>
      <c r="C13" s="364"/>
      <c r="D13" s="364"/>
      <c r="E13" s="364"/>
      <c r="F13" s="364"/>
      <c r="G13" s="364"/>
      <c r="H13" s="364"/>
      <c r="I13" s="364"/>
      <c r="J13" s="364"/>
      <c r="K13" s="364"/>
      <c r="L13" s="364"/>
      <c r="M13" s="364"/>
      <c r="N13" s="364"/>
      <c r="O13" s="364"/>
      <c r="P13" s="364"/>
      <c r="Q13" s="364"/>
      <c r="R13" s="364"/>
      <c r="S13" s="364"/>
      <c r="T13" s="364"/>
    </row>
    <row r="14" spans="1:20" s="11"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8"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2" customFormat="1" ht="12" x14ac:dyDescent="0.2">
      <c r="A16" s="364" t="str">
        <f>'1. паспорт местоположение'!A15</f>
        <v>Приобретение электросетевого комплекса ул.1-ая Большая окружная, с/т г.Калининград (дог.безв 3509 от 10.04.2019 гр. Щербанев В.М.)</v>
      </c>
      <c r="B16" s="364"/>
      <c r="C16" s="364"/>
      <c r="D16" s="364"/>
      <c r="E16" s="364"/>
      <c r="F16" s="364"/>
      <c r="G16" s="364"/>
      <c r="H16" s="364"/>
      <c r="I16" s="364"/>
      <c r="J16" s="364"/>
      <c r="K16" s="364"/>
      <c r="L16" s="364"/>
      <c r="M16" s="364"/>
      <c r="N16" s="364"/>
      <c r="O16" s="364"/>
      <c r="P16" s="364"/>
      <c r="Q16" s="364"/>
      <c r="R16" s="364"/>
      <c r="S16" s="364"/>
      <c r="T16" s="364"/>
    </row>
    <row r="17" spans="1:113" s="2"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2"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2" customFormat="1" ht="15" customHeight="1" x14ac:dyDescent="0.2">
      <c r="A19" s="387" t="s">
        <v>467</v>
      </c>
      <c r="B19" s="387"/>
      <c r="C19" s="387"/>
      <c r="D19" s="387"/>
      <c r="E19" s="387"/>
      <c r="F19" s="387"/>
      <c r="G19" s="387"/>
      <c r="H19" s="387"/>
      <c r="I19" s="387"/>
      <c r="J19" s="387"/>
      <c r="K19" s="387"/>
      <c r="L19" s="387"/>
      <c r="M19" s="387"/>
      <c r="N19" s="387"/>
      <c r="O19" s="387"/>
      <c r="P19" s="387"/>
      <c r="Q19" s="387"/>
      <c r="R19" s="387"/>
      <c r="S19" s="387"/>
      <c r="T19" s="387"/>
    </row>
    <row r="20" spans="1:113" s="55"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1" t="s">
        <v>3</v>
      </c>
      <c r="B21" s="374" t="s">
        <v>217</v>
      </c>
      <c r="C21" s="375"/>
      <c r="D21" s="378" t="s">
        <v>116</v>
      </c>
      <c r="E21" s="374" t="s">
        <v>495</v>
      </c>
      <c r="F21" s="375"/>
      <c r="G21" s="374" t="s">
        <v>267</v>
      </c>
      <c r="H21" s="375"/>
      <c r="I21" s="374" t="s">
        <v>115</v>
      </c>
      <c r="J21" s="375"/>
      <c r="K21" s="378" t="s">
        <v>114</v>
      </c>
      <c r="L21" s="374" t="s">
        <v>113</v>
      </c>
      <c r="M21" s="375"/>
      <c r="N21" s="374" t="s">
        <v>492</v>
      </c>
      <c r="O21" s="375"/>
      <c r="P21" s="378" t="s">
        <v>112</v>
      </c>
      <c r="Q21" s="384" t="s">
        <v>111</v>
      </c>
      <c r="R21" s="385"/>
      <c r="S21" s="384" t="s">
        <v>110</v>
      </c>
      <c r="T21" s="386"/>
    </row>
    <row r="22" spans="1:113" ht="204.75" customHeight="1" x14ac:dyDescent="0.25">
      <c r="A22" s="382"/>
      <c r="B22" s="376"/>
      <c r="C22" s="377"/>
      <c r="D22" s="380"/>
      <c r="E22" s="376"/>
      <c r="F22" s="377"/>
      <c r="G22" s="376"/>
      <c r="H22" s="377"/>
      <c r="I22" s="376"/>
      <c r="J22" s="377"/>
      <c r="K22" s="379"/>
      <c r="L22" s="376"/>
      <c r="M22" s="377"/>
      <c r="N22" s="376"/>
      <c r="O22" s="377"/>
      <c r="P22" s="379"/>
      <c r="Q22" s="101" t="s">
        <v>109</v>
      </c>
      <c r="R22" s="101" t="s">
        <v>466</v>
      </c>
      <c r="S22" s="101" t="s">
        <v>108</v>
      </c>
      <c r="T22" s="101" t="s">
        <v>107</v>
      </c>
    </row>
    <row r="23" spans="1:113" ht="51.75" customHeight="1" x14ac:dyDescent="0.25">
      <c r="A23" s="383"/>
      <c r="B23" s="147" t="s">
        <v>105</v>
      </c>
      <c r="C23" s="147" t="s">
        <v>106</v>
      </c>
      <c r="D23" s="379"/>
      <c r="E23" s="147" t="s">
        <v>105</v>
      </c>
      <c r="F23" s="147" t="s">
        <v>106</v>
      </c>
      <c r="G23" s="147" t="s">
        <v>105</v>
      </c>
      <c r="H23" s="147" t="s">
        <v>106</v>
      </c>
      <c r="I23" s="147" t="s">
        <v>105</v>
      </c>
      <c r="J23" s="147" t="s">
        <v>106</v>
      </c>
      <c r="K23" s="147" t="s">
        <v>105</v>
      </c>
      <c r="L23" s="147" t="s">
        <v>105</v>
      </c>
      <c r="M23" s="147" t="s">
        <v>106</v>
      </c>
      <c r="N23" s="147" t="s">
        <v>105</v>
      </c>
      <c r="O23" s="147" t="s">
        <v>106</v>
      </c>
      <c r="P23" s="148" t="s">
        <v>105</v>
      </c>
      <c r="Q23" s="101" t="s">
        <v>105</v>
      </c>
      <c r="R23" s="101" t="s">
        <v>105</v>
      </c>
      <c r="S23" s="101" t="s">
        <v>105</v>
      </c>
      <c r="T23" s="101"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5" customFormat="1" ht="16.5" customHeight="1" x14ac:dyDescent="0.25">
      <c r="A25" s="56" t="s">
        <v>533</v>
      </c>
      <c r="B25" s="56" t="s">
        <v>533</v>
      </c>
      <c r="C25" s="56" t="s">
        <v>533</v>
      </c>
      <c r="D25" s="56" t="s">
        <v>533</v>
      </c>
      <c r="E25" s="56" t="s">
        <v>533</v>
      </c>
      <c r="F25" s="56" t="s">
        <v>533</v>
      </c>
      <c r="G25" s="56" t="s">
        <v>533</v>
      </c>
      <c r="H25" s="56" t="s">
        <v>533</v>
      </c>
      <c r="I25" s="56" t="s">
        <v>533</v>
      </c>
      <c r="J25" s="56" t="s">
        <v>533</v>
      </c>
      <c r="K25" s="56" t="s">
        <v>533</v>
      </c>
      <c r="L25" s="56" t="s">
        <v>533</v>
      </c>
      <c r="M25" s="56" t="s">
        <v>533</v>
      </c>
      <c r="N25" s="56" t="s">
        <v>533</v>
      </c>
      <c r="O25" s="56" t="s">
        <v>533</v>
      </c>
      <c r="P25" s="56" t="s">
        <v>533</v>
      </c>
      <c r="Q25" s="56" t="s">
        <v>533</v>
      </c>
      <c r="R25" s="56" t="s">
        <v>533</v>
      </c>
      <c r="S25" s="56" t="s">
        <v>533</v>
      </c>
      <c r="T25" s="56" t="s">
        <v>533</v>
      </c>
    </row>
    <row r="26" spans="1:113" s="55" customFormat="1" ht="16.5" customHeight="1" x14ac:dyDescent="0.25">
      <c r="A26" s="56" t="s">
        <v>533</v>
      </c>
      <c r="B26" s="56" t="s">
        <v>533</v>
      </c>
      <c r="C26" s="56" t="s">
        <v>533</v>
      </c>
      <c r="D26" s="56" t="s">
        <v>533</v>
      </c>
      <c r="E26" s="56" t="s">
        <v>533</v>
      </c>
      <c r="F26" s="56" t="s">
        <v>533</v>
      </c>
      <c r="G26" s="56" t="s">
        <v>533</v>
      </c>
      <c r="H26" s="56" t="s">
        <v>533</v>
      </c>
      <c r="I26" s="56" t="s">
        <v>533</v>
      </c>
      <c r="J26" s="56" t="s">
        <v>533</v>
      </c>
      <c r="K26" s="56" t="s">
        <v>533</v>
      </c>
      <c r="L26" s="56" t="s">
        <v>533</v>
      </c>
      <c r="M26" s="56" t="s">
        <v>533</v>
      </c>
      <c r="N26" s="56" t="s">
        <v>533</v>
      </c>
      <c r="O26" s="56" t="s">
        <v>533</v>
      </c>
      <c r="P26" s="56" t="s">
        <v>533</v>
      </c>
      <c r="Q26" s="56" t="s">
        <v>533</v>
      </c>
      <c r="R26" s="56" t="s">
        <v>533</v>
      </c>
      <c r="S26" s="56" t="s">
        <v>533</v>
      </c>
      <c r="T26" s="56" t="s">
        <v>533</v>
      </c>
    </row>
    <row r="27" spans="1:113" s="53" customFormat="1" ht="16.5" customHeight="1" x14ac:dyDescent="0.2">
      <c r="B27" s="54"/>
      <c r="C27" s="54"/>
      <c r="K27" s="54"/>
      <c r="O27" s="53">
        <f>SUM(O25:O26)</f>
        <v>0</v>
      </c>
    </row>
    <row r="28" spans="1:113" s="53" customFormat="1" x14ac:dyDescent="0.25">
      <c r="B28" s="51" t="s">
        <v>104</v>
      </c>
      <c r="C28" s="51"/>
      <c r="D28" s="51"/>
      <c r="E28" s="51"/>
      <c r="F28" s="51"/>
      <c r="G28" s="51"/>
      <c r="H28" s="51"/>
      <c r="I28" s="51"/>
      <c r="J28" s="51"/>
      <c r="K28" s="51"/>
      <c r="L28" s="51"/>
      <c r="M28" s="51"/>
      <c r="N28" s="51"/>
      <c r="O28" s="51"/>
      <c r="P28" s="51"/>
      <c r="Q28" s="51"/>
      <c r="R28" s="51"/>
    </row>
    <row r="29" spans="1:113" x14ac:dyDescent="0.25">
      <c r="B29" s="373" t="s">
        <v>501</v>
      </c>
      <c r="C29" s="373"/>
      <c r="D29" s="373"/>
      <c r="E29" s="373"/>
      <c r="F29" s="373"/>
      <c r="G29" s="373"/>
      <c r="H29" s="373"/>
      <c r="I29" s="373"/>
      <c r="J29" s="373"/>
      <c r="K29" s="373"/>
      <c r="L29" s="373"/>
      <c r="M29" s="373"/>
      <c r="N29" s="373"/>
      <c r="O29" s="373"/>
      <c r="P29" s="373"/>
      <c r="Q29" s="373"/>
      <c r="R29" s="373"/>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465</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103</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102</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101</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70" zoomScaleSheetLayoutView="70" workbookViewId="0">
      <selection activeCell="R26" sqref="R26"/>
    </sheetView>
  </sheetViews>
  <sheetFormatPr defaultColWidth="10.7109375" defaultRowHeight="15.75" x14ac:dyDescent="0.25"/>
  <cols>
    <col min="1" max="1" width="10.7109375" style="249"/>
    <col min="2" max="2" width="18.5703125" style="47" customWidth="1"/>
    <col min="3" max="3" width="38.5703125" style="47" customWidth="1"/>
    <col min="4" max="4" width="18.5703125" style="47" customWidth="1"/>
    <col min="5" max="5" width="42.285156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20"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2" width="8.7109375" style="47" customWidth="1"/>
    <col min="23" max="24" width="20"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66</v>
      </c>
    </row>
    <row r="2" spans="1:27" s="11" customFormat="1" ht="18.75" customHeight="1" x14ac:dyDescent="0.3">
      <c r="A2" s="250"/>
      <c r="E2" s="17"/>
      <c r="Q2" s="15"/>
      <c r="R2" s="15"/>
      <c r="AA2" s="14" t="s">
        <v>8</v>
      </c>
    </row>
    <row r="3" spans="1:27" s="11" customFormat="1" ht="18.75" customHeight="1" x14ac:dyDescent="0.3">
      <c r="A3" s="250"/>
      <c r="E3" s="17"/>
      <c r="Q3" s="15"/>
      <c r="R3" s="15"/>
      <c r="AA3" s="14" t="s">
        <v>65</v>
      </c>
    </row>
    <row r="4" spans="1:27" s="11" customFormat="1" x14ac:dyDescent="0.2">
      <c r="A4" s="250"/>
      <c r="E4" s="16"/>
      <c r="Q4" s="15"/>
      <c r="R4" s="15"/>
    </row>
    <row r="5" spans="1:27" s="11" customFormat="1" x14ac:dyDescent="0.2">
      <c r="A5" s="354" t="str">
        <f>'1. паспорт местоположение'!A5:C5</f>
        <v>Год раскрытия информации: 2019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row>
    <row r="6" spans="1:27" s="11" customFormat="1" x14ac:dyDescent="0.2">
      <c r="A6" s="236"/>
      <c r="B6" s="150"/>
      <c r="C6" s="150"/>
      <c r="D6" s="150"/>
      <c r="E6" s="150"/>
      <c r="F6" s="150"/>
      <c r="G6" s="150"/>
      <c r="H6" s="150"/>
      <c r="I6" s="150"/>
      <c r="J6" s="150"/>
      <c r="K6" s="150"/>
      <c r="L6" s="150"/>
      <c r="M6" s="150"/>
      <c r="N6" s="150"/>
      <c r="O6" s="150"/>
      <c r="P6" s="150"/>
      <c r="Q6" s="150"/>
      <c r="R6" s="150"/>
      <c r="S6" s="150"/>
      <c r="T6" s="150"/>
    </row>
    <row r="7" spans="1:27" s="11" customFormat="1" ht="18.75" x14ac:dyDescent="0.2">
      <c r="A7" s="250"/>
      <c r="E7" s="363" t="s">
        <v>7</v>
      </c>
      <c r="F7" s="363"/>
      <c r="G7" s="363"/>
      <c r="H7" s="363"/>
      <c r="I7" s="363"/>
      <c r="J7" s="363"/>
      <c r="K7" s="363"/>
      <c r="L7" s="363"/>
      <c r="M7" s="363"/>
      <c r="N7" s="363"/>
      <c r="O7" s="363"/>
      <c r="P7" s="363"/>
      <c r="Q7" s="363"/>
      <c r="R7" s="363"/>
      <c r="S7" s="363"/>
      <c r="T7" s="363"/>
      <c r="U7" s="363"/>
      <c r="V7" s="363"/>
      <c r="W7" s="363"/>
      <c r="X7" s="363"/>
      <c r="Y7" s="363"/>
    </row>
    <row r="8" spans="1:27" s="11" customFormat="1" ht="18.75" x14ac:dyDescent="0.2">
      <c r="A8" s="250"/>
      <c r="E8" s="13"/>
      <c r="F8" s="13"/>
      <c r="G8" s="13"/>
      <c r="H8" s="13"/>
      <c r="I8" s="13"/>
      <c r="J8" s="13"/>
      <c r="K8" s="13"/>
      <c r="L8" s="13"/>
      <c r="M8" s="13"/>
      <c r="N8" s="13"/>
      <c r="O8" s="13"/>
      <c r="P8" s="13"/>
      <c r="Q8" s="13"/>
      <c r="R8" s="13"/>
      <c r="S8" s="12"/>
      <c r="T8" s="12"/>
      <c r="U8" s="12"/>
      <c r="V8" s="12"/>
      <c r="W8" s="12"/>
    </row>
    <row r="9" spans="1:27" s="11" customFormat="1" ht="18.75" customHeight="1" x14ac:dyDescent="0.2">
      <c r="A9" s="250"/>
      <c r="E9" s="364" t="str">
        <f>'1. паспорт местоположение'!A9</f>
        <v>Акционерное общество "Янтарьэнерго" ДЗО  ПАО "Россети"</v>
      </c>
      <c r="F9" s="364"/>
      <c r="G9" s="364"/>
      <c r="H9" s="364"/>
      <c r="I9" s="364"/>
      <c r="J9" s="364"/>
      <c r="K9" s="364"/>
      <c r="L9" s="364"/>
      <c r="M9" s="364"/>
      <c r="N9" s="364"/>
      <c r="O9" s="364"/>
      <c r="P9" s="364"/>
      <c r="Q9" s="364"/>
      <c r="R9" s="364"/>
      <c r="S9" s="364"/>
      <c r="T9" s="364"/>
      <c r="U9" s="364"/>
      <c r="V9" s="364"/>
      <c r="W9" s="364"/>
      <c r="X9" s="364"/>
      <c r="Y9" s="364"/>
    </row>
    <row r="10" spans="1:27" s="11" customFormat="1" ht="18.75" customHeight="1" x14ac:dyDescent="0.2">
      <c r="A10" s="250"/>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1" customFormat="1" ht="18.75" x14ac:dyDescent="0.2">
      <c r="A11" s="250"/>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250"/>
      <c r="E12" s="364" t="str">
        <f>'1. паспорт местоположение'!A12</f>
        <v>J_140-109</v>
      </c>
      <c r="F12" s="364"/>
      <c r="G12" s="364"/>
      <c r="H12" s="364"/>
      <c r="I12" s="364"/>
      <c r="J12" s="364"/>
      <c r="K12" s="364"/>
      <c r="L12" s="364"/>
      <c r="M12" s="364"/>
      <c r="N12" s="364"/>
      <c r="O12" s="364"/>
      <c r="P12" s="364"/>
      <c r="Q12" s="364"/>
      <c r="R12" s="364"/>
      <c r="S12" s="364"/>
      <c r="T12" s="364"/>
      <c r="U12" s="364"/>
      <c r="V12" s="364"/>
      <c r="W12" s="364"/>
      <c r="X12" s="364"/>
      <c r="Y12" s="364"/>
    </row>
    <row r="13" spans="1:27" s="11" customFormat="1" ht="18.75" customHeight="1" x14ac:dyDescent="0.2">
      <c r="A13" s="250"/>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8" customFormat="1" ht="15.75" customHeight="1" x14ac:dyDescent="0.2">
      <c r="A14" s="251"/>
      <c r="E14" s="9"/>
      <c r="F14" s="9"/>
      <c r="G14" s="9"/>
      <c r="H14" s="9"/>
      <c r="I14" s="9"/>
      <c r="J14" s="9"/>
      <c r="K14" s="9"/>
      <c r="L14" s="9"/>
      <c r="M14" s="9"/>
      <c r="N14" s="9"/>
      <c r="O14" s="9"/>
      <c r="P14" s="9"/>
      <c r="Q14" s="9"/>
      <c r="R14" s="9"/>
      <c r="S14" s="9"/>
      <c r="T14" s="9"/>
      <c r="U14" s="9"/>
      <c r="V14" s="9"/>
      <c r="W14" s="9"/>
    </row>
    <row r="15" spans="1:27" s="2" customFormat="1" ht="12" x14ac:dyDescent="0.2">
      <c r="A15" s="252"/>
      <c r="E15" s="364" t="str">
        <f>'1. паспорт местоположение'!A15</f>
        <v>Приобретение электросетевого комплекса ул.1-ая Большая окружная, с/т г.Калининград (дог.безв 3509 от 10.04.2019 гр. Щербанев В.М.)</v>
      </c>
      <c r="F15" s="364"/>
      <c r="G15" s="364"/>
      <c r="H15" s="364"/>
      <c r="I15" s="364"/>
      <c r="J15" s="364"/>
      <c r="K15" s="364"/>
      <c r="L15" s="364"/>
      <c r="M15" s="364"/>
      <c r="N15" s="364"/>
      <c r="O15" s="364"/>
      <c r="P15" s="364"/>
      <c r="Q15" s="364"/>
      <c r="R15" s="364"/>
      <c r="S15" s="364"/>
      <c r="T15" s="364"/>
      <c r="U15" s="364"/>
      <c r="V15" s="364"/>
      <c r="W15" s="364"/>
      <c r="X15" s="364"/>
      <c r="Y15" s="364"/>
    </row>
    <row r="16" spans="1:27" s="2" customFormat="1" ht="15" customHeight="1" x14ac:dyDescent="0.2">
      <c r="A16" s="25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2" customFormat="1" ht="15" customHeight="1" x14ac:dyDescent="0.2">
      <c r="A17" s="252"/>
      <c r="E17" s="3"/>
      <c r="F17" s="3"/>
      <c r="G17" s="3"/>
      <c r="H17" s="3"/>
      <c r="I17" s="3"/>
      <c r="J17" s="3"/>
      <c r="K17" s="3"/>
      <c r="L17" s="3"/>
      <c r="M17" s="3"/>
      <c r="N17" s="3"/>
      <c r="O17" s="3"/>
      <c r="P17" s="3"/>
      <c r="Q17" s="3"/>
      <c r="R17" s="3"/>
      <c r="S17" s="3"/>
      <c r="T17" s="3"/>
      <c r="U17" s="3"/>
      <c r="V17" s="3"/>
      <c r="W17" s="3"/>
    </row>
    <row r="18" spans="1:27" s="2" customFormat="1" ht="15" customHeight="1" x14ac:dyDescent="0.2">
      <c r="A18" s="25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469</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55" customFormat="1" ht="21" customHeight="1" x14ac:dyDescent="0.25">
      <c r="A20" s="253"/>
    </row>
    <row r="21" spans="1:27" ht="15.75" customHeight="1" x14ac:dyDescent="0.25">
      <c r="A21" s="389" t="s">
        <v>3</v>
      </c>
      <c r="B21" s="392" t="s">
        <v>476</v>
      </c>
      <c r="C21" s="393"/>
      <c r="D21" s="392" t="s">
        <v>478</v>
      </c>
      <c r="E21" s="393"/>
      <c r="F21" s="384" t="s">
        <v>88</v>
      </c>
      <c r="G21" s="386"/>
      <c r="H21" s="386"/>
      <c r="I21" s="385"/>
      <c r="J21" s="389" t="s">
        <v>479</v>
      </c>
      <c r="K21" s="392" t="s">
        <v>480</v>
      </c>
      <c r="L21" s="393"/>
      <c r="M21" s="392" t="s">
        <v>481</v>
      </c>
      <c r="N21" s="393"/>
      <c r="O21" s="392" t="s">
        <v>468</v>
      </c>
      <c r="P21" s="393"/>
      <c r="Q21" s="392" t="s">
        <v>121</v>
      </c>
      <c r="R21" s="393"/>
      <c r="S21" s="389" t="s">
        <v>120</v>
      </c>
      <c r="T21" s="389" t="s">
        <v>482</v>
      </c>
      <c r="U21" s="389" t="s">
        <v>477</v>
      </c>
      <c r="V21" s="392" t="s">
        <v>119</v>
      </c>
      <c r="W21" s="393"/>
      <c r="X21" s="384" t="s">
        <v>111</v>
      </c>
      <c r="Y21" s="386"/>
      <c r="Z21" s="384" t="s">
        <v>110</v>
      </c>
      <c r="AA21" s="386"/>
    </row>
    <row r="22" spans="1:27" ht="216" customHeight="1" x14ac:dyDescent="0.25">
      <c r="A22" s="390"/>
      <c r="B22" s="394"/>
      <c r="C22" s="395"/>
      <c r="D22" s="394"/>
      <c r="E22" s="395"/>
      <c r="F22" s="384" t="s">
        <v>118</v>
      </c>
      <c r="G22" s="385"/>
      <c r="H22" s="384" t="s">
        <v>117</v>
      </c>
      <c r="I22" s="385"/>
      <c r="J22" s="391"/>
      <c r="K22" s="394"/>
      <c r="L22" s="395"/>
      <c r="M22" s="394"/>
      <c r="N22" s="395"/>
      <c r="O22" s="394"/>
      <c r="P22" s="395"/>
      <c r="Q22" s="394"/>
      <c r="R22" s="395"/>
      <c r="S22" s="391"/>
      <c r="T22" s="391"/>
      <c r="U22" s="391"/>
      <c r="V22" s="394"/>
      <c r="W22" s="395"/>
      <c r="X22" s="101" t="s">
        <v>109</v>
      </c>
      <c r="Y22" s="101" t="s">
        <v>466</v>
      </c>
      <c r="Z22" s="101" t="s">
        <v>108</v>
      </c>
      <c r="AA22" s="101" t="s">
        <v>107</v>
      </c>
    </row>
    <row r="23" spans="1:27" ht="60" customHeight="1" x14ac:dyDescent="0.25">
      <c r="A23" s="391"/>
      <c r="B23" s="145" t="s">
        <v>105</v>
      </c>
      <c r="C23" s="145"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101" t="s">
        <v>105</v>
      </c>
      <c r="AA23" s="101"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156" customFormat="1" ht="33.75" customHeight="1" x14ac:dyDescent="0.25">
      <c r="A25" s="241">
        <v>1</v>
      </c>
      <c r="B25" s="241" t="s">
        <v>533</v>
      </c>
      <c r="C25" s="237" t="s">
        <v>586</v>
      </c>
      <c r="D25" s="241" t="s">
        <v>533</v>
      </c>
      <c r="E25" s="56" t="s">
        <v>587</v>
      </c>
      <c r="F25" s="241" t="s">
        <v>533</v>
      </c>
      <c r="G25" s="238" t="s">
        <v>581</v>
      </c>
      <c r="H25" s="241" t="s">
        <v>533</v>
      </c>
      <c r="I25" s="238" t="s">
        <v>581</v>
      </c>
      <c r="J25" s="239" t="s">
        <v>515</v>
      </c>
      <c r="K25" s="241" t="s">
        <v>533</v>
      </c>
      <c r="L25" s="56">
        <v>1</v>
      </c>
      <c r="M25" s="241" t="s">
        <v>533</v>
      </c>
      <c r="N25" s="254" t="s">
        <v>459</v>
      </c>
      <c r="O25" s="241" t="s">
        <v>533</v>
      </c>
      <c r="P25" s="238" t="s">
        <v>528</v>
      </c>
      <c r="Q25" s="241" t="s">
        <v>533</v>
      </c>
      <c r="R25" s="240">
        <v>8.0000000000000002E-3</v>
      </c>
      <c r="S25" s="241" t="s">
        <v>533</v>
      </c>
      <c r="T25" s="241" t="s">
        <v>533</v>
      </c>
      <c r="U25" s="241" t="s">
        <v>533</v>
      </c>
      <c r="V25" s="241" t="s">
        <v>533</v>
      </c>
      <c r="W25" s="241" t="s">
        <v>582</v>
      </c>
      <c r="X25" s="241" t="s">
        <v>533</v>
      </c>
      <c r="Y25" s="241" t="s">
        <v>533</v>
      </c>
      <c r="Z25" s="241" t="s">
        <v>533</v>
      </c>
      <c r="AA25" s="241" t="s">
        <v>533</v>
      </c>
    </row>
    <row r="26" spans="1:27" x14ac:dyDescent="0.25">
      <c r="A26" s="260"/>
      <c r="B26" s="48"/>
      <c r="C26" s="48"/>
      <c r="D26" s="48"/>
      <c r="G26" s="261"/>
      <c r="R26" s="47">
        <f>SUM(R25:R25)</f>
        <v>8.0000000000000002E-3</v>
      </c>
    </row>
    <row r="27" spans="1:27" hidden="1" x14ac:dyDescent="0.25">
      <c r="A27" s="265"/>
      <c r="B27" s="48"/>
      <c r="C27" s="48"/>
      <c r="D27" s="48"/>
      <c r="P27" s="47" t="s">
        <v>528</v>
      </c>
      <c r="R27" s="47">
        <f>SUMIF(P25:P25,"ВЛ",R25:R25)</f>
        <v>8.0000000000000002E-3</v>
      </c>
    </row>
    <row r="28" spans="1:27" hidden="1" x14ac:dyDescent="0.25">
      <c r="A28" s="265"/>
      <c r="B28" s="48"/>
      <c r="C28" s="266"/>
      <c r="D28" s="48"/>
      <c r="P28" s="47" t="s">
        <v>529</v>
      </c>
      <c r="R28" s="47">
        <f>SUMIF(P25:P25,"КЛ",R25:R25)</f>
        <v>0</v>
      </c>
    </row>
  </sheetData>
  <autoFilter ref="A24:WVQ25"/>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54" t="str">
        <f>'1. паспорт местоположение'!A5:C5</f>
        <v>Год раскрытия информации: 2019 год</v>
      </c>
      <c r="B5" s="354"/>
      <c r="C5" s="354"/>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363" t="s">
        <v>7</v>
      </c>
      <c r="B7" s="363"/>
      <c r="C7" s="363"/>
      <c r="D7" s="12"/>
      <c r="E7" s="12"/>
      <c r="F7" s="12"/>
      <c r="G7" s="12"/>
      <c r="H7" s="12"/>
      <c r="I7" s="12"/>
      <c r="J7" s="12"/>
      <c r="K7" s="12"/>
      <c r="L7" s="12"/>
      <c r="M7" s="12"/>
      <c r="N7" s="12"/>
      <c r="O7" s="12"/>
      <c r="P7" s="12"/>
      <c r="Q7" s="12"/>
      <c r="R7" s="12"/>
      <c r="S7" s="12"/>
      <c r="T7" s="12"/>
      <c r="U7" s="12"/>
    </row>
    <row r="8" spans="1:29" s="11" customFormat="1" ht="18.75" x14ac:dyDescent="0.2">
      <c r="A8" s="363"/>
      <c r="B8" s="363"/>
      <c r="C8" s="363"/>
      <c r="D8" s="13"/>
      <c r="E8" s="13"/>
      <c r="F8" s="13"/>
      <c r="G8" s="13"/>
      <c r="H8" s="12"/>
      <c r="I8" s="12"/>
      <c r="J8" s="12"/>
      <c r="K8" s="12"/>
      <c r="L8" s="12"/>
      <c r="M8" s="12"/>
      <c r="N8" s="12"/>
      <c r="O8" s="12"/>
      <c r="P8" s="12"/>
      <c r="Q8" s="12"/>
      <c r="R8" s="12"/>
      <c r="S8" s="12"/>
      <c r="T8" s="12"/>
      <c r="U8" s="12"/>
    </row>
    <row r="9" spans="1:29" s="11" customFormat="1" ht="18.75" x14ac:dyDescent="0.2">
      <c r="A9" s="364" t="str">
        <f>'1. паспорт местоположение'!A9:C9</f>
        <v>Акционерное общество "Янтарьэнерго" ДЗО  ПАО "Россети"</v>
      </c>
      <c r="B9" s="364"/>
      <c r="C9" s="364"/>
      <c r="D9" s="7"/>
      <c r="E9" s="7"/>
      <c r="F9" s="7"/>
      <c r="G9" s="7"/>
      <c r="H9" s="12"/>
      <c r="I9" s="12"/>
      <c r="J9" s="12"/>
      <c r="K9" s="12"/>
      <c r="L9" s="12"/>
      <c r="M9" s="12"/>
      <c r="N9" s="12"/>
      <c r="O9" s="12"/>
      <c r="P9" s="12"/>
      <c r="Q9" s="12"/>
      <c r="R9" s="12"/>
      <c r="S9" s="12"/>
      <c r="T9" s="12"/>
      <c r="U9" s="12"/>
    </row>
    <row r="10" spans="1:29" s="11" customFormat="1" ht="18.75" x14ac:dyDescent="0.2">
      <c r="A10" s="368" t="s">
        <v>6</v>
      </c>
      <c r="B10" s="368"/>
      <c r="C10" s="368"/>
      <c r="D10" s="5"/>
      <c r="E10" s="5"/>
      <c r="F10" s="5"/>
      <c r="G10" s="5"/>
      <c r="H10" s="12"/>
      <c r="I10" s="12"/>
      <c r="J10" s="12"/>
      <c r="K10" s="12"/>
      <c r="L10" s="12"/>
      <c r="M10" s="12"/>
      <c r="N10" s="12"/>
      <c r="O10" s="12"/>
      <c r="P10" s="12"/>
      <c r="Q10" s="12"/>
      <c r="R10" s="12"/>
      <c r="S10" s="12"/>
      <c r="T10" s="12"/>
      <c r="U10" s="12"/>
    </row>
    <row r="11" spans="1:29" s="11" customFormat="1" ht="18.75" x14ac:dyDescent="0.2">
      <c r="A11" s="363"/>
      <c r="B11" s="363"/>
      <c r="C11" s="363"/>
      <c r="D11" s="13"/>
      <c r="E11" s="13"/>
      <c r="F11" s="13"/>
      <c r="G11" s="13"/>
      <c r="H11" s="12"/>
      <c r="I11" s="12"/>
      <c r="J11" s="12"/>
      <c r="K11" s="12"/>
      <c r="L11" s="12"/>
      <c r="M11" s="12"/>
      <c r="N11" s="12"/>
      <c r="O11" s="12"/>
      <c r="P11" s="12"/>
      <c r="Q11" s="12"/>
      <c r="R11" s="12"/>
      <c r="S11" s="12"/>
      <c r="T11" s="12"/>
      <c r="U11" s="12"/>
    </row>
    <row r="12" spans="1:29" s="11" customFormat="1" ht="18.75" x14ac:dyDescent="0.2">
      <c r="A12" s="364" t="str">
        <f>'1. паспорт местоположение'!A12:C12</f>
        <v>J_140-109</v>
      </c>
      <c r="B12" s="364"/>
      <c r="C12" s="364"/>
      <c r="D12" s="7"/>
      <c r="E12" s="7"/>
      <c r="F12" s="7"/>
      <c r="G12" s="7"/>
      <c r="H12" s="12"/>
      <c r="I12" s="12"/>
      <c r="J12" s="12"/>
      <c r="K12" s="12"/>
      <c r="L12" s="12"/>
      <c r="M12" s="12"/>
      <c r="N12" s="12"/>
      <c r="O12" s="12"/>
      <c r="P12" s="12"/>
      <c r="Q12" s="12"/>
      <c r="R12" s="12"/>
      <c r="S12" s="12"/>
      <c r="T12" s="12"/>
      <c r="U12" s="12"/>
    </row>
    <row r="13" spans="1:29" s="11" customFormat="1" ht="18.75" x14ac:dyDescent="0.2">
      <c r="A13" s="368" t="s">
        <v>5</v>
      </c>
      <c r="B13" s="368"/>
      <c r="C13" s="36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9"/>
      <c r="B14" s="369"/>
      <c r="C14" s="369"/>
      <c r="D14" s="9"/>
      <c r="E14" s="9"/>
      <c r="F14" s="9"/>
      <c r="G14" s="9"/>
      <c r="H14" s="9"/>
      <c r="I14" s="9"/>
      <c r="J14" s="9"/>
      <c r="K14" s="9"/>
      <c r="L14" s="9"/>
      <c r="M14" s="9"/>
      <c r="N14" s="9"/>
      <c r="O14" s="9"/>
      <c r="P14" s="9"/>
      <c r="Q14" s="9"/>
      <c r="R14" s="9"/>
      <c r="S14" s="9"/>
      <c r="T14" s="9"/>
      <c r="U14" s="9"/>
    </row>
    <row r="15" spans="1:29" s="2" customFormat="1" ht="35.25" customHeight="1" x14ac:dyDescent="0.2">
      <c r="A15" s="396" t="str">
        <f>'1. паспорт местоположение'!A15</f>
        <v>Приобретение электросетевого комплекса ул.1-ая Большая окружная, с/т г.Калининград (дог.безв 3509 от 10.04.2019 гр. Щербанев В.М.)</v>
      </c>
      <c r="B15" s="396"/>
      <c r="C15" s="396"/>
      <c r="D15" s="7"/>
      <c r="E15" s="7"/>
      <c r="F15" s="7"/>
      <c r="G15" s="7"/>
      <c r="H15" s="7"/>
      <c r="I15" s="7"/>
      <c r="J15" s="7"/>
      <c r="K15" s="7"/>
      <c r="L15" s="7"/>
      <c r="M15" s="7"/>
      <c r="N15" s="7"/>
      <c r="O15" s="7"/>
      <c r="P15" s="7"/>
      <c r="Q15" s="7"/>
      <c r="R15" s="7"/>
      <c r="S15" s="7"/>
      <c r="T15" s="7"/>
      <c r="U15" s="7"/>
    </row>
    <row r="16" spans="1:29" s="2" customFormat="1" ht="15" customHeight="1" x14ac:dyDescent="0.2">
      <c r="A16" s="368" t="s">
        <v>4</v>
      </c>
      <c r="B16" s="368"/>
      <c r="C16" s="368"/>
      <c r="D16" s="5"/>
      <c r="E16" s="5"/>
      <c r="F16" s="5"/>
      <c r="G16" s="5"/>
      <c r="H16" s="5"/>
      <c r="I16" s="5"/>
      <c r="J16" s="5"/>
      <c r="K16" s="5"/>
      <c r="L16" s="5"/>
      <c r="M16" s="5"/>
      <c r="N16" s="5"/>
      <c r="O16" s="5"/>
      <c r="P16" s="5"/>
      <c r="Q16" s="5"/>
      <c r="R16" s="5"/>
      <c r="S16" s="5"/>
      <c r="T16" s="5"/>
      <c r="U16" s="5"/>
    </row>
    <row r="17" spans="1:21" s="2" customFormat="1" ht="15" customHeight="1" x14ac:dyDescent="0.2">
      <c r="A17" s="370"/>
      <c r="B17" s="370"/>
      <c r="C17" s="370"/>
      <c r="D17" s="3"/>
      <c r="E17" s="3"/>
      <c r="F17" s="3"/>
      <c r="G17" s="3"/>
      <c r="H17" s="3"/>
      <c r="I17" s="3"/>
      <c r="J17" s="3"/>
      <c r="K17" s="3"/>
      <c r="L17" s="3"/>
      <c r="M17" s="3"/>
      <c r="N17" s="3"/>
      <c r="O17" s="3"/>
      <c r="P17" s="3"/>
      <c r="Q17" s="3"/>
      <c r="R17" s="3"/>
    </row>
    <row r="18" spans="1:21" s="2" customFormat="1" ht="27.75" customHeight="1" x14ac:dyDescent="0.2">
      <c r="A18" s="371" t="s">
        <v>461</v>
      </c>
      <c r="B18" s="371"/>
      <c r="C18" s="371"/>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1.5" x14ac:dyDescent="0.2">
      <c r="A22" s="27" t="s">
        <v>62</v>
      </c>
      <c r="B22" s="33" t="s">
        <v>474</v>
      </c>
      <c r="C22" s="146" t="s">
        <v>577</v>
      </c>
      <c r="D22" s="32"/>
      <c r="E22" s="32"/>
      <c r="F22" s="31"/>
      <c r="G22" s="31"/>
      <c r="H22" s="31"/>
      <c r="I22" s="31"/>
      <c r="J22" s="31"/>
      <c r="K22" s="31"/>
      <c r="L22" s="31"/>
      <c r="M22" s="31"/>
      <c r="N22" s="31"/>
      <c r="O22" s="31"/>
      <c r="P22" s="31"/>
      <c r="Q22" s="30"/>
      <c r="R22" s="30"/>
      <c r="S22" s="30"/>
      <c r="T22" s="30"/>
      <c r="U22" s="30"/>
    </row>
    <row r="23" spans="1:21" ht="31.5" x14ac:dyDescent="0.25">
      <c r="A23" s="27" t="s">
        <v>61</v>
      </c>
      <c r="B23" s="29" t="s">
        <v>58</v>
      </c>
      <c r="C23" s="28" t="s">
        <v>540</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494</v>
      </c>
      <c r="C24" s="248" t="s">
        <v>588</v>
      </c>
      <c r="D24" s="26"/>
      <c r="E24" s="188"/>
      <c r="F24" s="26"/>
      <c r="G24" s="26"/>
      <c r="H24" s="26"/>
      <c r="I24" s="26"/>
      <c r="J24" s="26"/>
      <c r="K24" s="26"/>
      <c r="L24" s="26"/>
      <c r="M24" s="26"/>
      <c r="N24" s="26"/>
      <c r="O24" s="26"/>
      <c r="P24" s="26"/>
      <c r="Q24" s="26"/>
      <c r="R24" s="26"/>
      <c r="S24" s="26"/>
      <c r="T24" s="26"/>
      <c r="U24" s="26"/>
    </row>
    <row r="25" spans="1:21" ht="81.599999999999994" customHeight="1" x14ac:dyDescent="0.25">
      <c r="A25" s="27" t="s">
        <v>59</v>
      </c>
      <c r="B25" s="29" t="s">
        <v>538</v>
      </c>
      <c r="C25" s="255" t="s">
        <v>589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513</v>
      </c>
      <c r="D26" s="26"/>
      <c r="E26" s="26"/>
      <c r="F26" s="26"/>
      <c r="G26" s="26"/>
      <c r="H26" s="26"/>
      <c r="I26" s="26"/>
      <c r="J26" s="26"/>
      <c r="K26" s="26"/>
      <c r="L26" s="26"/>
      <c r="M26" s="26"/>
      <c r="N26" s="26"/>
      <c r="O26" s="26"/>
      <c r="P26" s="26"/>
      <c r="Q26" s="26"/>
      <c r="R26" s="26"/>
      <c r="S26" s="26"/>
      <c r="T26" s="26"/>
      <c r="U26" s="26"/>
    </row>
    <row r="27" spans="1:21" ht="31.5" x14ac:dyDescent="0.25">
      <c r="A27" s="27" t="s">
        <v>56</v>
      </c>
      <c r="B27" s="29" t="s">
        <v>475</v>
      </c>
      <c r="C27" s="191" t="s">
        <v>590</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43">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43">
        <v>2019</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42" t="s">
        <v>594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188"/>
      <c r="B35" s="26"/>
      <c r="C35" s="26"/>
      <c r="D35" s="26"/>
      <c r="E35" s="26"/>
      <c r="F35" s="26"/>
      <c r="G35" s="26"/>
      <c r="H35" s="26"/>
      <c r="I35" s="26"/>
      <c r="J35" s="26"/>
      <c r="K35" s="26"/>
      <c r="L35" s="26"/>
      <c r="M35" s="26"/>
      <c r="N35" s="26"/>
      <c r="O35" s="26"/>
      <c r="P35" s="26"/>
      <c r="Q35" s="26"/>
      <c r="R35" s="26"/>
      <c r="S35" s="26"/>
      <c r="T35" s="26"/>
      <c r="U35" s="26"/>
    </row>
    <row r="36" spans="1:21" x14ac:dyDescent="0.25">
      <c r="A36" s="188"/>
      <c r="B36" s="26"/>
      <c r="C36" s="26"/>
      <c r="D36" s="26"/>
      <c r="E36" s="26"/>
      <c r="F36" s="26"/>
      <c r="G36" s="26"/>
      <c r="H36" s="26"/>
      <c r="I36" s="26"/>
      <c r="J36" s="26"/>
      <c r="K36" s="26"/>
      <c r="L36" s="26"/>
      <c r="M36" s="26"/>
      <c r="N36" s="26"/>
      <c r="O36" s="26"/>
      <c r="P36" s="26"/>
      <c r="Q36" s="26"/>
      <c r="R36" s="26"/>
      <c r="S36" s="26"/>
      <c r="T36" s="26"/>
      <c r="U36" s="26"/>
    </row>
    <row r="37" spans="1:21" x14ac:dyDescent="0.25">
      <c r="A37" s="188"/>
      <c r="B37" s="26"/>
      <c r="C37" s="26"/>
      <c r="D37" s="26"/>
      <c r="E37" s="26"/>
      <c r="F37" s="26"/>
      <c r="G37" s="26"/>
      <c r="H37" s="26"/>
      <c r="I37" s="26"/>
      <c r="J37" s="26"/>
      <c r="K37" s="26"/>
      <c r="L37" s="26"/>
      <c r="M37" s="26"/>
      <c r="N37" s="26"/>
      <c r="O37" s="26"/>
      <c r="P37" s="26"/>
      <c r="Q37" s="26"/>
      <c r="R37" s="26"/>
      <c r="S37" s="26"/>
      <c r="T37" s="26"/>
      <c r="U37" s="26"/>
    </row>
    <row r="38" spans="1:21" x14ac:dyDescent="0.25">
      <c r="A38" s="188"/>
      <c r="B38" s="26"/>
      <c r="C38" s="26"/>
      <c r="D38" s="26"/>
      <c r="E38" s="26"/>
      <c r="F38" s="26"/>
      <c r="G38" s="26"/>
      <c r="H38" s="26"/>
      <c r="I38" s="26"/>
      <c r="J38" s="26"/>
      <c r="K38" s="26"/>
      <c r="L38" s="26"/>
      <c r="M38" s="26"/>
      <c r="N38" s="26"/>
      <c r="O38" s="26"/>
      <c r="P38" s="26"/>
      <c r="Q38" s="26"/>
      <c r="R38" s="26"/>
      <c r="S38" s="26"/>
      <c r="T38" s="26"/>
      <c r="U38" s="26"/>
    </row>
    <row r="39" spans="1:21" x14ac:dyDescent="0.25">
      <c r="A39" s="188"/>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54" t="str">
        <f>'1. паспорт местоположение'!A5:C5</f>
        <v>Год раскрытия информации: 2019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42"/>
      <c r="AB6" s="142"/>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42"/>
      <c r="AB7" s="142"/>
    </row>
    <row r="8" spans="1:28" x14ac:dyDescent="0.25">
      <c r="A8" s="364" t="str">
        <f>'1. паспорт местоположение'!A9</f>
        <v>Акционерное общество "Янтарьэнерго"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43"/>
      <c r="AB8" s="143"/>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44"/>
      <c r="AB9" s="144"/>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42"/>
      <c r="AB10" s="142"/>
    </row>
    <row r="11" spans="1:28" x14ac:dyDescent="0.25">
      <c r="A11" s="364" t="str">
        <f>'1. паспорт местоположение'!A12:C12</f>
        <v>J_140-109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43"/>
      <c r="AB11" s="143"/>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44"/>
      <c r="AB12" s="144"/>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0"/>
      <c r="AB13" s="10"/>
    </row>
    <row r="14" spans="1:28" x14ac:dyDescent="0.25">
      <c r="A14" s="364" t="str">
        <f>'1. паспорт местоположение'!A15</f>
        <v>Приобретение электросетевого комплекса ул.1-ая Большая окружная, с/т г.Калининград (дог.безв 3509 от 10.04.2019 гр. Щербанев В.М.)</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43"/>
      <c r="AB14" s="143"/>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44"/>
      <c r="AB15" s="144"/>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52"/>
      <c r="AB16" s="152"/>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52"/>
      <c r="AB17" s="152"/>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52"/>
      <c r="AB18" s="152"/>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52"/>
      <c r="AB19" s="152"/>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53"/>
      <c r="AB20" s="153"/>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53"/>
      <c r="AB21" s="153"/>
    </row>
    <row r="22" spans="1:28" x14ac:dyDescent="0.25">
      <c r="A22" s="398" t="s">
        <v>493</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54"/>
      <c r="AB22" s="154"/>
    </row>
    <row r="23" spans="1:28" ht="32.25" customHeight="1" x14ac:dyDescent="0.25">
      <c r="A23" s="400" t="s">
        <v>349</v>
      </c>
      <c r="B23" s="401"/>
      <c r="C23" s="401"/>
      <c r="D23" s="401"/>
      <c r="E23" s="401"/>
      <c r="F23" s="401"/>
      <c r="G23" s="401"/>
      <c r="H23" s="401"/>
      <c r="I23" s="401"/>
      <c r="J23" s="401"/>
      <c r="K23" s="401"/>
      <c r="L23" s="402"/>
      <c r="M23" s="399" t="s">
        <v>350</v>
      </c>
      <c r="N23" s="399"/>
      <c r="O23" s="399"/>
      <c r="P23" s="399"/>
      <c r="Q23" s="399"/>
      <c r="R23" s="399"/>
      <c r="S23" s="399"/>
      <c r="T23" s="399"/>
      <c r="U23" s="399"/>
      <c r="V23" s="399"/>
      <c r="W23" s="399"/>
      <c r="X23" s="399"/>
      <c r="Y23" s="399"/>
      <c r="Z23" s="399"/>
    </row>
    <row r="24" spans="1:28" ht="151.5" customHeight="1" x14ac:dyDescent="0.25">
      <c r="A24" s="98" t="s">
        <v>227</v>
      </c>
      <c r="B24" s="99" t="s">
        <v>256</v>
      </c>
      <c r="C24" s="98" t="s">
        <v>343</v>
      </c>
      <c r="D24" s="98" t="s">
        <v>228</v>
      </c>
      <c r="E24" s="98" t="s">
        <v>344</v>
      </c>
      <c r="F24" s="98" t="s">
        <v>346</v>
      </c>
      <c r="G24" s="98" t="s">
        <v>345</v>
      </c>
      <c r="H24" s="98" t="s">
        <v>229</v>
      </c>
      <c r="I24" s="98" t="s">
        <v>347</v>
      </c>
      <c r="J24" s="98" t="s">
        <v>261</v>
      </c>
      <c r="K24" s="99" t="s">
        <v>255</v>
      </c>
      <c r="L24" s="99" t="s">
        <v>230</v>
      </c>
      <c r="M24" s="100" t="s">
        <v>275</v>
      </c>
      <c r="N24" s="99" t="s">
        <v>503</v>
      </c>
      <c r="O24" s="98" t="s">
        <v>272</v>
      </c>
      <c r="P24" s="98" t="s">
        <v>273</v>
      </c>
      <c r="Q24" s="98" t="s">
        <v>271</v>
      </c>
      <c r="R24" s="98" t="s">
        <v>229</v>
      </c>
      <c r="S24" s="98" t="s">
        <v>270</v>
      </c>
      <c r="T24" s="98" t="s">
        <v>269</v>
      </c>
      <c r="U24" s="98" t="s">
        <v>342</v>
      </c>
      <c r="V24" s="98" t="s">
        <v>271</v>
      </c>
      <c r="W24" s="104" t="s">
        <v>254</v>
      </c>
      <c r="X24" s="104" t="s">
        <v>286</v>
      </c>
      <c r="Y24" s="104" t="s">
        <v>287</v>
      </c>
      <c r="Z24" s="106" t="s">
        <v>284</v>
      </c>
    </row>
    <row r="25" spans="1:28" ht="16.5" customHeight="1" x14ac:dyDescent="0.25">
      <c r="A25" s="98">
        <v>1</v>
      </c>
      <c r="B25" s="99">
        <v>2</v>
      </c>
      <c r="C25" s="98">
        <v>3</v>
      </c>
      <c r="D25" s="99">
        <v>4</v>
      </c>
      <c r="E25" s="98">
        <v>5</v>
      </c>
      <c r="F25" s="99">
        <v>6</v>
      </c>
      <c r="G25" s="98">
        <v>7</v>
      </c>
      <c r="H25" s="99">
        <v>8</v>
      </c>
      <c r="I25" s="98">
        <v>9</v>
      </c>
      <c r="J25" s="99">
        <v>10</v>
      </c>
      <c r="K25" s="155">
        <v>11</v>
      </c>
      <c r="L25" s="99">
        <v>12</v>
      </c>
      <c r="M25" s="155">
        <v>13</v>
      </c>
      <c r="N25" s="99">
        <v>14</v>
      </c>
      <c r="O25" s="155">
        <v>15</v>
      </c>
      <c r="P25" s="99">
        <v>16</v>
      </c>
      <c r="Q25" s="155">
        <v>17</v>
      </c>
      <c r="R25" s="99">
        <v>18</v>
      </c>
      <c r="S25" s="155">
        <v>19</v>
      </c>
      <c r="T25" s="99">
        <v>20</v>
      </c>
      <c r="U25" s="155">
        <v>21</v>
      </c>
      <c r="V25" s="99">
        <v>22</v>
      </c>
      <c r="W25" s="155">
        <v>23</v>
      </c>
      <c r="X25" s="99">
        <v>24</v>
      </c>
      <c r="Y25" s="155">
        <v>25</v>
      </c>
      <c r="Z25" s="99">
        <v>26</v>
      </c>
    </row>
    <row r="26" spans="1:28" ht="45.75" customHeight="1" x14ac:dyDescent="0.25">
      <c r="A26" s="91" t="s">
        <v>327</v>
      </c>
      <c r="B26" s="97"/>
      <c r="C26" s="93" t="s">
        <v>329</v>
      </c>
      <c r="D26" s="93" t="s">
        <v>330</v>
      </c>
      <c r="E26" s="93" t="s">
        <v>331</v>
      </c>
      <c r="F26" s="93" t="s">
        <v>266</v>
      </c>
      <c r="G26" s="93" t="s">
        <v>332</v>
      </c>
      <c r="H26" s="93" t="s">
        <v>229</v>
      </c>
      <c r="I26" s="93" t="s">
        <v>333</v>
      </c>
      <c r="J26" s="93" t="s">
        <v>334</v>
      </c>
      <c r="K26" s="90"/>
      <c r="L26" s="94" t="s">
        <v>252</v>
      </c>
      <c r="M26" s="96" t="s">
        <v>268</v>
      </c>
      <c r="N26" s="90"/>
      <c r="O26" s="90"/>
      <c r="P26" s="90"/>
      <c r="Q26" s="90"/>
      <c r="R26" s="90"/>
      <c r="S26" s="90"/>
      <c r="T26" s="90"/>
      <c r="U26" s="90"/>
      <c r="V26" s="90"/>
      <c r="W26" s="90"/>
      <c r="X26" s="90"/>
      <c r="Y26" s="90"/>
      <c r="Z26" s="92" t="s">
        <v>285</v>
      </c>
    </row>
    <row r="27" spans="1:28" x14ac:dyDescent="0.25">
      <c r="A27" s="90" t="s">
        <v>231</v>
      </c>
      <c r="B27" s="90" t="s">
        <v>257</v>
      </c>
      <c r="C27" s="90" t="s">
        <v>236</v>
      </c>
      <c r="D27" s="90" t="s">
        <v>237</v>
      </c>
      <c r="E27" s="90" t="s">
        <v>276</v>
      </c>
      <c r="F27" s="93" t="s">
        <v>232</v>
      </c>
      <c r="G27" s="93" t="s">
        <v>280</v>
      </c>
      <c r="H27" s="90" t="s">
        <v>229</v>
      </c>
      <c r="I27" s="93" t="s">
        <v>262</v>
      </c>
      <c r="J27" s="93" t="s">
        <v>244</v>
      </c>
      <c r="K27" s="94" t="s">
        <v>248</v>
      </c>
      <c r="L27" s="90"/>
      <c r="M27" s="94" t="s">
        <v>274</v>
      </c>
      <c r="N27" s="90"/>
      <c r="O27" s="90"/>
      <c r="P27" s="90"/>
      <c r="Q27" s="90"/>
      <c r="R27" s="90"/>
      <c r="S27" s="90"/>
      <c r="T27" s="90"/>
      <c r="U27" s="90"/>
      <c r="V27" s="90"/>
      <c r="W27" s="90"/>
      <c r="X27" s="90"/>
      <c r="Y27" s="90"/>
      <c r="Z27" s="90"/>
    </row>
    <row r="28" spans="1:28" x14ac:dyDescent="0.25">
      <c r="A28" s="90" t="s">
        <v>231</v>
      </c>
      <c r="B28" s="90" t="s">
        <v>258</v>
      </c>
      <c r="C28" s="90" t="s">
        <v>238</v>
      </c>
      <c r="D28" s="90" t="s">
        <v>239</v>
      </c>
      <c r="E28" s="90" t="s">
        <v>277</v>
      </c>
      <c r="F28" s="93" t="s">
        <v>233</v>
      </c>
      <c r="G28" s="93" t="s">
        <v>281</v>
      </c>
      <c r="H28" s="90" t="s">
        <v>229</v>
      </c>
      <c r="I28" s="93" t="s">
        <v>263</v>
      </c>
      <c r="J28" s="93" t="s">
        <v>245</v>
      </c>
      <c r="K28" s="94" t="s">
        <v>249</v>
      </c>
      <c r="L28" s="95"/>
      <c r="M28" s="94" t="s">
        <v>0</v>
      </c>
      <c r="N28" s="94"/>
      <c r="O28" s="94"/>
      <c r="P28" s="94"/>
      <c r="Q28" s="94"/>
      <c r="R28" s="94"/>
      <c r="S28" s="94"/>
      <c r="T28" s="94"/>
      <c r="U28" s="94"/>
      <c r="V28" s="94"/>
      <c r="W28" s="94"/>
      <c r="X28" s="94"/>
      <c r="Y28" s="94"/>
      <c r="Z28" s="94"/>
    </row>
    <row r="29" spans="1:28" x14ac:dyDescent="0.25">
      <c r="A29" s="90" t="s">
        <v>231</v>
      </c>
      <c r="B29" s="90" t="s">
        <v>259</v>
      </c>
      <c r="C29" s="90" t="s">
        <v>240</v>
      </c>
      <c r="D29" s="90" t="s">
        <v>241</v>
      </c>
      <c r="E29" s="90" t="s">
        <v>278</v>
      </c>
      <c r="F29" s="93" t="s">
        <v>234</v>
      </c>
      <c r="G29" s="93" t="s">
        <v>282</v>
      </c>
      <c r="H29" s="90" t="s">
        <v>229</v>
      </c>
      <c r="I29" s="93" t="s">
        <v>264</v>
      </c>
      <c r="J29" s="93" t="s">
        <v>246</v>
      </c>
      <c r="K29" s="94" t="s">
        <v>250</v>
      </c>
      <c r="L29" s="95"/>
      <c r="M29" s="90"/>
      <c r="N29" s="90"/>
      <c r="O29" s="90"/>
      <c r="P29" s="90"/>
      <c r="Q29" s="90"/>
      <c r="R29" s="90"/>
      <c r="S29" s="90"/>
      <c r="T29" s="90"/>
      <c r="U29" s="90"/>
      <c r="V29" s="90"/>
      <c r="W29" s="90"/>
      <c r="X29" s="90"/>
      <c r="Y29" s="90"/>
      <c r="Z29" s="90"/>
    </row>
    <row r="30" spans="1:28" x14ac:dyDescent="0.25">
      <c r="A30" s="90" t="s">
        <v>231</v>
      </c>
      <c r="B30" s="90" t="s">
        <v>260</v>
      </c>
      <c r="C30" s="90" t="s">
        <v>242</v>
      </c>
      <c r="D30" s="90" t="s">
        <v>243</v>
      </c>
      <c r="E30" s="90" t="s">
        <v>279</v>
      </c>
      <c r="F30" s="93" t="s">
        <v>235</v>
      </c>
      <c r="G30" s="93" t="s">
        <v>283</v>
      </c>
      <c r="H30" s="90" t="s">
        <v>229</v>
      </c>
      <c r="I30" s="93" t="s">
        <v>265</v>
      </c>
      <c r="J30" s="93" t="s">
        <v>247</v>
      </c>
      <c r="K30" s="94" t="s">
        <v>251</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328</v>
      </c>
      <c r="B32" s="97"/>
      <c r="C32" s="93" t="s">
        <v>335</v>
      </c>
      <c r="D32" s="93" t="s">
        <v>336</v>
      </c>
      <c r="E32" s="93" t="s">
        <v>337</v>
      </c>
      <c r="F32" s="93" t="s">
        <v>338</v>
      </c>
      <c r="G32" s="93" t="s">
        <v>339</v>
      </c>
      <c r="H32" s="93" t="s">
        <v>229</v>
      </c>
      <c r="I32" s="93" t="s">
        <v>340</v>
      </c>
      <c r="J32" s="93" t="s">
        <v>341</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54" t="str">
        <f>'1. паспорт местоположение'!A5:C5</f>
        <v>Год раскрытия информации: 2019 год</v>
      </c>
      <c r="B5" s="354"/>
      <c r="C5" s="354"/>
      <c r="D5" s="354"/>
      <c r="E5" s="354"/>
      <c r="F5" s="354"/>
      <c r="G5" s="354"/>
      <c r="H5" s="354"/>
      <c r="I5" s="354"/>
      <c r="J5" s="354"/>
      <c r="K5" s="354"/>
      <c r="L5" s="354"/>
      <c r="M5" s="354"/>
      <c r="N5" s="354"/>
      <c r="O5" s="354"/>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363" t="s">
        <v>7</v>
      </c>
      <c r="B7" s="363"/>
      <c r="C7" s="363"/>
      <c r="D7" s="363"/>
      <c r="E7" s="363"/>
      <c r="F7" s="363"/>
      <c r="G7" s="363"/>
      <c r="H7" s="363"/>
      <c r="I7" s="363"/>
      <c r="J7" s="363"/>
      <c r="K7" s="363"/>
      <c r="L7" s="363"/>
      <c r="M7" s="363"/>
      <c r="N7" s="363"/>
      <c r="O7" s="363"/>
      <c r="P7" s="12"/>
      <c r="Q7" s="12"/>
      <c r="R7" s="12"/>
      <c r="S7" s="12"/>
      <c r="T7" s="12"/>
      <c r="U7" s="12"/>
      <c r="V7" s="12"/>
      <c r="W7" s="12"/>
      <c r="X7" s="12"/>
      <c r="Y7" s="12"/>
      <c r="Z7" s="12"/>
    </row>
    <row r="8" spans="1:28" s="11" customFormat="1" ht="18.75" x14ac:dyDescent="0.2">
      <c r="A8" s="363"/>
      <c r="B8" s="363"/>
      <c r="C8" s="363"/>
      <c r="D8" s="363"/>
      <c r="E8" s="363"/>
      <c r="F8" s="363"/>
      <c r="G8" s="363"/>
      <c r="H8" s="363"/>
      <c r="I8" s="363"/>
      <c r="J8" s="363"/>
      <c r="K8" s="363"/>
      <c r="L8" s="363"/>
      <c r="M8" s="363"/>
      <c r="N8" s="363"/>
      <c r="O8" s="363"/>
      <c r="P8" s="12"/>
      <c r="Q8" s="12"/>
      <c r="R8" s="12"/>
      <c r="S8" s="12"/>
      <c r="T8" s="12"/>
      <c r="U8" s="12"/>
      <c r="V8" s="12"/>
      <c r="W8" s="12"/>
      <c r="X8" s="12"/>
      <c r="Y8" s="12"/>
      <c r="Z8" s="12"/>
    </row>
    <row r="9" spans="1:28" s="11" customFormat="1" ht="18.75" x14ac:dyDescent="0.2">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c r="M9" s="364"/>
      <c r="N9" s="364"/>
      <c r="O9" s="364"/>
      <c r="P9" s="12"/>
      <c r="Q9" s="12"/>
      <c r="R9" s="12"/>
      <c r="S9" s="12"/>
      <c r="T9" s="12"/>
      <c r="U9" s="12"/>
      <c r="V9" s="12"/>
      <c r="W9" s="12"/>
      <c r="X9" s="12"/>
      <c r="Y9" s="12"/>
      <c r="Z9" s="12"/>
    </row>
    <row r="10" spans="1:28" s="11" customFormat="1" ht="18.75" x14ac:dyDescent="0.2">
      <c r="A10" s="368" t="s">
        <v>6</v>
      </c>
      <c r="B10" s="368"/>
      <c r="C10" s="368"/>
      <c r="D10" s="368"/>
      <c r="E10" s="368"/>
      <c r="F10" s="368"/>
      <c r="G10" s="368"/>
      <c r="H10" s="368"/>
      <c r="I10" s="368"/>
      <c r="J10" s="368"/>
      <c r="K10" s="368"/>
      <c r="L10" s="368"/>
      <c r="M10" s="368"/>
      <c r="N10" s="368"/>
      <c r="O10" s="368"/>
      <c r="P10" s="12"/>
      <c r="Q10" s="12"/>
      <c r="R10" s="12"/>
      <c r="S10" s="12"/>
      <c r="T10" s="12"/>
      <c r="U10" s="12"/>
      <c r="V10" s="12"/>
      <c r="W10" s="12"/>
      <c r="X10" s="12"/>
      <c r="Y10" s="12"/>
      <c r="Z10" s="12"/>
    </row>
    <row r="11" spans="1:28" s="11" customFormat="1" ht="18.75" x14ac:dyDescent="0.2">
      <c r="A11" s="363"/>
      <c r="B11" s="363"/>
      <c r="C11" s="363"/>
      <c r="D11" s="363"/>
      <c r="E11" s="363"/>
      <c r="F11" s="363"/>
      <c r="G11" s="363"/>
      <c r="H11" s="363"/>
      <c r="I11" s="363"/>
      <c r="J11" s="363"/>
      <c r="K11" s="363"/>
      <c r="L11" s="363"/>
      <c r="M11" s="363"/>
      <c r="N11" s="363"/>
      <c r="O11" s="363"/>
      <c r="P11" s="12"/>
      <c r="Q11" s="12"/>
      <c r="R11" s="12"/>
      <c r="S11" s="12"/>
      <c r="T11" s="12"/>
      <c r="U11" s="12"/>
      <c r="V11" s="12"/>
      <c r="W11" s="12"/>
      <c r="X11" s="12"/>
      <c r="Y11" s="12"/>
      <c r="Z11" s="12"/>
    </row>
    <row r="12" spans="1:28" s="11" customFormat="1" ht="18.75" x14ac:dyDescent="0.2">
      <c r="A12" s="364" t="str">
        <f>'1. паспорт местоположение'!A12:C12</f>
        <v>J_140-109</v>
      </c>
      <c r="B12" s="364"/>
      <c r="C12" s="364"/>
      <c r="D12" s="364"/>
      <c r="E12" s="364"/>
      <c r="F12" s="364"/>
      <c r="G12" s="364"/>
      <c r="H12" s="364"/>
      <c r="I12" s="364"/>
      <c r="J12" s="364"/>
      <c r="K12" s="364"/>
      <c r="L12" s="364"/>
      <c r="M12" s="364"/>
      <c r="N12" s="364"/>
      <c r="O12" s="364"/>
      <c r="P12" s="12"/>
      <c r="Q12" s="12"/>
      <c r="R12" s="12"/>
      <c r="S12" s="12"/>
      <c r="T12" s="12"/>
      <c r="U12" s="12"/>
      <c r="V12" s="12"/>
      <c r="W12" s="12"/>
      <c r="X12" s="12"/>
      <c r="Y12" s="12"/>
      <c r="Z12" s="12"/>
    </row>
    <row r="13" spans="1:28" s="11" customFormat="1" ht="18.75" x14ac:dyDescent="0.2">
      <c r="A13" s="368" t="s">
        <v>5</v>
      </c>
      <c r="B13" s="368"/>
      <c r="C13" s="368"/>
      <c r="D13" s="368"/>
      <c r="E13" s="368"/>
      <c r="F13" s="368"/>
      <c r="G13" s="368"/>
      <c r="H13" s="368"/>
      <c r="I13" s="368"/>
      <c r="J13" s="368"/>
      <c r="K13" s="368"/>
      <c r="L13" s="368"/>
      <c r="M13" s="368"/>
      <c r="N13" s="368"/>
      <c r="O13" s="368"/>
      <c r="P13" s="12"/>
      <c r="Q13" s="12"/>
      <c r="R13" s="12"/>
      <c r="S13" s="12"/>
      <c r="T13" s="12"/>
      <c r="U13" s="12"/>
      <c r="V13" s="12"/>
      <c r="W13" s="12"/>
      <c r="X13" s="12"/>
      <c r="Y13" s="12"/>
      <c r="Z13" s="12"/>
    </row>
    <row r="14" spans="1:28" s="8" customFormat="1" ht="15.75" customHeight="1" x14ac:dyDescent="0.2">
      <c r="A14" s="369"/>
      <c r="B14" s="369"/>
      <c r="C14" s="369"/>
      <c r="D14" s="369"/>
      <c r="E14" s="369"/>
      <c r="F14" s="369"/>
      <c r="G14" s="369"/>
      <c r="H14" s="369"/>
      <c r="I14" s="369"/>
      <c r="J14" s="369"/>
      <c r="K14" s="369"/>
      <c r="L14" s="369"/>
      <c r="M14" s="369"/>
      <c r="N14" s="369"/>
      <c r="O14" s="369"/>
      <c r="P14" s="9"/>
      <c r="Q14" s="9"/>
      <c r="R14" s="9"/>
      <c r="S14" s="9"/>
      <c r="T14" s="9"/>
      <c r="U14" s="9"/>
      <c r="V14" s="9"/>
      <c r="W14" s="9"/>
      <c r="X14" s="9"/>
      <c r="Y14" s="9"/>
      <c r="Z14" s="9"/>
    </row>
    <row r="15" spans="1:28" s="2" customFormat="1" ht="12" x14ac:dyDescent="0.2">
      <c r="A15" s="364" t="str">
        <f>'1. паспорт местоположение'!A15</f>
        <v>Приобретение электросетевого комплекса ул.1-ая Большая окружная, с/т г.Калининград (дог.безв 3509 от 10.04.2019 гр. Щербанев В.М.)</v>
      </c>
      <c r="B15" s="364"/>
      <c r="C15" s="364"/>
      <c r="D15" s="364"/>
      <c r="E15" s="364"/>
      <c r="F15" s="364"/>
      <c r="G15" s="364"/>
      <c r="H15" s="364"/>
      <c r="I15" s="364"/>
      <c r="J15" s="364"/>
      <c r="K15" s="364"/>
      <c r="L15" s="364"/>
      <c r="M15" s="364"/>
      <c r="N15" s="364"/>
      <c r="O15" s="364"/>
      <c r="P15" s="7"/>
      <c r="Q15" s="7"/>
      <c r="R15" s="7"/>
      <c r="S15" s="7"/>
      <c r="T15" s="7"/>
      <c r="U15" s="7"/>
      <c r="V15" s="7"/>
      <c r="W15" s="7"/>
      <c r="X15" s="7"/>
      <c r="Y15" s="7"/>
      <c r="Z15" s="7"/>
    </row>
    <row r="16" spans="1:28" s="2" customFormat="1" ht="15" customHeight="1" x14ac:dyDescent="0.2">
      <c r="A16" s="368" t="s">
        <v>4</v>
      </c>
      <c r="B16" s="368"/>
      <c r="C16" s="368"/>
      <c r="D16" s="368"/>
      <c r="E16" s="368"/>
      <c r="F16" s="368"/>
      <c r="G16" s="368"/>
      <c r="H16" s="368"/>
      <c r="I16" s="368"/>
      <c r="J16" s="368"/>
      <c r="K16" s="368"/>
      <c r="L16" s="368"/>
      <c r="M16" s="368"/>
      <c r="N16" s="368"/>
      <c r="O16" s="368"/>
      <c r="P16" s="5"/>
      <c r="Q16" s="5"/>
      <c r="R16" s="5"/>
      <c r="S16" s="5"/>
      <c r="T16" s="5"/>
      <c r="U16" s="5"/>
      <c r="V16" s="5"/>
      <c r="W16" s="5"/>
      <c r="X16" s="5"/>
      <c r="Y16" s="5"/>
      <c r="Z16" s="5"/>
    </row>
    <row r="17" spans="1:26" s="2" customFormat="1" ht="15" customHeight="1" x14ac:dyDescent="0.2">
      <c r="A17" s="370"/>
      <c r="B17" s="370"/>
      <c r="C17" s="370"/>
      <c r="D17" s="370"/>
      <c r="E17" s="370"/>
      <c r="F17" s="370"/>
      <c r="G17" s="370"/>
      <c r="H17" s="370"/>
      <c r="I17" s="370"/>
      <c r="J17" s="370"/>
      <c r="K17" s="370"/>
      <c r="L17" s="370"/>
      <c r="M17" s="370"/>
      <c r="N17" s="370"/>
      <c r="O17" s="370"/>
      <c r="P17" s="3"/>
      <c r="Q17" s="3"/>
      <c r="R17" s="3"/>
      <c r="S17" s="3"/>
      <c r="T17" s="3"/>
      <c r="U17" s="3"/>
      <c r="V17" s="3"/>
      <c r="W17" s="3"/>
    </row>
    <row r="18" spans="1:26" s="2" customFormat="1" ht="91.5" customHeight="1" x14ac:dyDescent="0.2">
      <c r="A18" s="404" t="s">
        <v>470</v>
      </c>
      <c r="B18" s="404"/>
      <c r="C18" s="404"/>
      <c r="D18" s="404"/>
      <c r="E18" s="404"/>
      <c r="F18" s="404"/>
      <c r="G18" s="404"/>
      <c r="H18" s="404"/>
      <c r="I18" s="404"/>
      <c r="J18" s="404"/>
      <c r="K18" s="404"/>
      <c r="L18" s="404"/>
      <c r="M18" s="404"/>
      <c r="N18" s="404"/>
      <c r="O18" s="404"/>
      <c r="P18" s="6"/>
      <c r="Q18" s="6"/>
      <c r="R18" s="6"/>
      <c r="S18" s="6"/>
      <c r="T18" s="6"/>
      <c r="U18" s="6"/>
      <c r="V18" s="6"/>
      <c r="W18" s="6"/>
      <c r="X18" s="6"/>
      <c r="Y18" s="6"/>
      <c r="Z18" s="6"/>
    </row>
    <row r="19" spans="1:26" s="2" customFormat="1" ht="78" customHeight="1" x14ac:dyDescent="0.2">
      <c r="A19" s="362" t="s">
        <v>3</v>
      </c>
      <c r="B19" s="362" t="s">
        <v>82</v>
      </c>
      <c r="C19" s="362" t="s">
        <v>81</v>
      </c>
      <c r="D19" s="362" t="s">
        <v>73</v>
      </c>
      <c r="E19" s="405" t="s">
        <v>80</v>
      </c>
      <c r="F19" s="406"/>
      <c r="G19" s="406"/>
      <c r="H19" s="406"/>
      <c r="I19" s="407"/>
      <c r="J19" s="362" t="s">
        <v>79</v>
      </c>
      <c r="K19" s="362"/>
      <c r="L19" s="362"/>
      <c r="M19" s="362"/>
      <c r="N19" s="362"/>
      <c r="O19" s="362"/>
      <c r="P19" s="3"/>
      <c r="Q19" s="3"/>
      <c r="R19" s="3"/>
      <c r="S19" s="3"/>
      <c r="T19" s="3"/>
      <c r="U19" s="3"/>
      <c r="V19" s="3"/>
      <c r="W19" s="3"/>
    </row>
    <row r="20" spans="1:26" s="2" customFormat="1" ht="51" customHeight="1" x14ac:dyDescent="0.2">
      <c r="A20" s="362"/>
      <c r="B20" s="362"/>
      <c r="C20" s="362"/>
      <c r="D20" s="362"/>
      <c r="E20" s="39" t="s">
        <v>78</v>
      </c>
      <c r="F20" s="39" t="s">
        <v>77</v>
      </c>
      <c r="G20" s="39" t="s">
        <v>76</v>
      </c>
      <c r="H20" s="39" t="s">
        <v>75</v>
      </c>
      <c r="I20" s="39" t="s">
        <v>74</v>
      </c>
      <c r="J20" s="39">
        <v>2015</v>
      </c>
      <c r="K20" s="233">
        <v>2016</v>
      </c>
      <c r="L20" s="233">
        <v>2017</v>
      </c>
      <c r="M20" s="233">
        <v>2018</v>
      </c>
      <c r="N20" s="233">
        <v>2019</v>
      </c>
      <c r="O20" s="233">
        <v>2020</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3" t="s">
        <v>62</v>
      </c>
      <c r="B22" s="45" t="s">
        <v>574</v>
      </c>
      <c r="C22" s="33">
        <v>0</v>
      </c>
      <c r="D22" s="33">
        <v>0</v>
      </c>
      <c r="E22" s="33">
        <v>0</v>
      </c>
      <c r="F22" s="33">
        <v>0</v>
      </c>
      <c r="G22" s="33">
        <v>0</v>
      </c>
      <c r="H22" s="33">
        <v>0</v>
      </c>
      <c r="I22" s="33">
        <v>0</v>
      </c>
      <c r="J22" s="42">
        <v>0</v>
      </c>
      <c r="K22" s="42">
        <v>0</v>
      </c>
      <c r="L22" s="4">
        <v>0</v>
      </c>
      <c r="M22" s="4">
        <v>0</v>
      </c>
      <c r="N22" s="4">
        <v>0</v>
      </c>
      <c r="O22" s="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03"/>
  <sheetViews>
    <sheetView view="pageBreakPreview" topLeftCell="A16" zoomScale="80" zoomScaleNormal="70" zoomScaleSheetLayoutView="80" workbookViewId="0">
      <selection activeCell="C83" sqref="C83"/>
    </sheetView>
  </sheetViews>
  <sheetFormatPr defaultRowHeight="15.75" x14ac:dyDescent="0.2"/>
  <cols>
    <col min="1" max="1" width="61.7109375" style="267" customWidth="1"/>
    <col min="2" max="2" width="16.28515625" style="267" customWidth="1"/>
    <col min="3" max="3" width="13.28515625" style="267" customWidth="1"/>
    <col min="4" max="4" width="16" style="267" customWidth="1"/>
    <col min="5" max="5" width="13.140625" style="267" customWidth="1"/>
    <col min="6" max="6" width="11.85546875" style="267" customWidth="1"/>
    <col min="7" max="7" width="12.7109375" style="267" customWidth="1"/>
    <col min="8" max="8" width="13.28515625" style="267" customWidth="1"/>
    <col min="9" max="9" width="14.7109375" style="267" customWidth="1"/>
    <col min="10" max="10" width="14" style="267" customWidth="1"/>
    <col min="11" max="11" width="14.5703125" style="267" customWidth="1"/>
    <col min="12" max="12" width="13.5703125" style="267" customWidth="1"/>
    <col min="13" max="13" width="13.85546875" style="267" customWidth="1"/>
    <col min="14" max="14" width="12.85546875" style="267" customWidth="1"/>
    <col min="15" max="15" width="13.140625" style="267" customWidth="1"/>
    <col min="16" max="16" width="13.85546875" style="267" customWidth="1"/>
    <col min="17" max="17" width="15" style="267" customWidth="1"/>
    <col min="18" max="19" width="14.140625" style="267" customWidth="1"/>
    <col min="20" max="21" width="14.5703125" style="267" customWidth="1"/>
    <col min="22" max="22" width="14.7109375" style="267" customWidth="1"/>
    <col min="23" max="23" width="13.5703125" style="267" customWidth="1"/>
    <col min="24" max="26" width="16.85546875" style="267" customWidth="1"/>
    <col min="27" max="225" width="8.85546875" style="297"/>
    <col min="226" max="226" width="61.7109375" style="297" customWidth="1"/>
    <col min="227" max="227" width="18.5703125" style="297" customWidth="1"/>
    <col min="228" max="228" width="16.85546875" style="297" customWidth="1"/>
    <col min="229" max="229" width="20.42578125" style="297" customWidth="1"/>
    <col min="230" max="230" width="18.7109375" style="297" customWidth="1"/>
    <col min="231" max="281" width="16.85546875" style="297" customWidth="1"/>
    <col min="282" max="481" width="8.85546875" style="297"/>
    <col min="482" max="482" width="61.7109375" style="297" customWidth="1"/>
    <col min="483" max="483" width="18.5703125" style="297" customWidth="1"/>
    <col min="484" max="484" width="16.85546875" style="297" customWidth="1"/>
    <col min="485" max="485" width="20.42578125" style="297" customWidth="1"/>
    <col min="486" max="486" width="18.7109375" style="297" customWidth="1"/>
    <col min="487" max="537" width="16.85546875" style="297" customWidth="1"/>
    <col min="538" max="737" width="8.85546875" style="297"/>
    <col min="738" max="738" width="61.7109375" style="297" customWidth="1"/>
    <col min="739" max="739" width="18.5703125" style="297" customWidth="1"/>
    <col min="740" max="740" width="16.85546875" style="297" customWidth="1"/>
    <col min="741" max="741" width="20.42578125" style="297" customWidth="1"/>
    <col min="742" max="742" width="18.7109375" style="297" customWidth="1"/>
    <col min="743" max="793" width="16.85546875" style="297" customWidth="1"/>
    <col min="794" max="993" width="8.85546875" style="297"/>
    <col min="994" max="994" width="61.7109375" style="297" customWidth="1"/>
    <col min="995" max="995" width="18.5703125" style="297" customWidth="1"/>
    <col min="996" max="996" width="16.85546875" style="297" customWidth="1"/>
    <col min="997" max="997" width="20.42578125" style="297" customWidth="1"/>
    <col min="998" max="998" width="18.7109375" style="297" customWidth="1"/>
    <col min="999" max="1049" width="16.85546875" style="297" customWidth="1"/>
    <col min="1050" max="1249" width="8.85546875" style="297"/>
    <col min="1250" max="1250" width="61.7109375" style="297" customWidth="1"/>
    <col min="1251" max="1251" width="18.5703125" style="297" customWidth="1"/>
    <col min="1252" max="1252" width="16.85546875" style="297" customWidth="1"/>
    <col min="1253" max="1253" width="20.42578125" style="297" customWidth="1"/>
    <col min="1254" max="1254" width="18.7109375" style="297" customWidth="1"/>
    <col min="1255" max="1305" width="16.85546875" style="297" customWidth="1"/>
    <col min="1306" max="1505" width="8.85546875" style="297"/>
    <col min="1506" max="1506" width="61.7109375" style="297" customWidth="1"/>
    <col min="1507" max="1507" width="18.5703125" style="297" customWidth="1"/>
    <col min="1508" max="1508" width="16.85546875" style="297" customWidth="1"/>
    <col min="1509" max="1509" width="20.42578125" style="297" customWidth="1"/>
    <col min="1510" max="1510" width="18.7109375" style="297" customWidth="1"/>
    <col min="1511" max="1561" width="16.85546875" style="297" customWidth="1"/>
    <col min="1562" max="1761" width="8.85546875" style="297"/>
    <col min="1762" max="1762" width="61.7109375" style="297" customWidth="1"/>
    <col min="1763" max="1763" width="18.5703125" style="297" customWidth="1"/>
    <col min="1764" max="1764" width="16.85546875" style="297" customWidth="1"/>
    <col min="1765" max="1765" width="20.42578125" style="297" customWidth="1"/>
    <col min="1766" max="1766" width="18.7109375" style="297" customWidth="1"/>
    <col min="1767" max="1817" width="16.85546875" style="297" customWidth="1"/>
    <col min="1818" max="2017" width="8.85546875" style="297"/>
    <col min="2018" max="2018" width="61.7109375" style="297" customWidth="1"/>
    <col min="2019" max="2019" width="18.5703125" style="297" customWidth="1"/>
    <col min="2020" max="2020" width="16.85546875" style="297" customWidth="1"/>
    <col min="2021" max="2021" width="20.42578125" style="297" customWidth="1"/>
    <col min="2022" max="2022" width="18.7109375" style="297" customWidth="1"/>
    <col min="2023" max="2073" width="16.85546875" style="297" customWidth="1"/>
    <col min="2074" max="2273" width="8.85546875" style="297"/>
    <col min="2274" max="2274" width="61.7109375" style="297" customWidth="1"/>
    <col min="2275" max="2275" width="18.5703125" style="297" customWidth="1"/>
    <col min="2276" max="2276" width="16.85546875" style="297" customWidth="1"/>
    <col min="2277" max="2277" width="20.42578125" style="297" customWidth="1"/>
    <col min="2278" max="2278" width="18.7109375" style="297" customWidth="1"/>
    <col min="2279" max="2329" width="16.85546875" style="297" customWidth="1"/>
    <col min="2330" max="2529" width="8.85546875" style="297"/>
    <col min="2530" max="2530" width="61.7109375" style="297" customWidth="1"/>
    <col min="2531" max="2531" width="18.5703125" style="297" customWidth="1"/>
    <col min="2532" max="2532" width="16.85546875" style="297" customWidth="1"/>
    <col min="2533" max="2533" width="20.42578125" style="297" customWidth="1"/>
    <col min="2534" max="2534" width="18.7109375" style="297" customWidth="1"/>
    <col min="2535" max="2585" width="16.85546875" style="297" customWidth="1"/>
    <col min="2586" max="2785" width="8.85546875" style="297"/>
    <col min="2786" max="2786" width="61.7109375" style="297" customWidth="1"/>
    <col min="2787" max="2787" width="18.5703125" style="297" customWidth="1"/>
    <col min="2788" max="2788" width="16.85546875" style="297" customWidth="1"/>
    <col min="2789" max="2789" width="20.42578125" style="297" customWidth="1"/>
    <col min="2790" max="2790" width="18.7109375" style="297" customWidth="1"/>
    <col min="2791" max="2841" width="16.85546875" style="297" customWidth="1"/>
    <col min="2842" max="3041" width="8.85546875" style="297"/>
    <col min="3042" max="3042" width="61.7109375" style="297" customWidth="1"/>
    <col min="3043" max="3043" width="18.5703125" style="297" customWidth="1"/>
    <col min="3044" max="3044" width="16.85546875" style="297" customWidth="1"/>
    <col min="3045" max="3045" width="20.42578125" style="297" customWidth="1"/>
    <col min="3046" max="3046" width="18.7109375" style="297" customWidth="1"/>
    <col min="3047" max="3097" width="16.85546875" style="297" customWidth="1"/>
    <col min="3098" max="3297" width="8.85546875" style="297"/>
    <col min="3298" max="3298" width="61.7109375" style="297" customWidth="1"/>
    <col min="3299" max="3299" width="18.5703125" style="297" customWidth="1"/>
    <col min="3300" max="3300" width="16.85546875" style="297" customWidth="1"/>
    <col min="3301" max="3301" width="20.42578125" style="297" customWidth="1"/>
    <col min="3302" max="3302" width="18.7109375" style="297" customWidth="1"/>
    <col min="3303" max="3353" width="16.85546875" style="297" customWidth="1"/>
    <col min="3354" max="3553" width="8.85546875" style="297"/>
    <col min="3554" max="3554" width="61.7109375" style="297" customWidth="1"/>
    <col min="3555" max="3555" width="18.5703125" style="297" customWidth="1"/>
    <col min="3556" max="3556" width="16.85546875" style="297" customWidth="1"/>
    <col min="3557" max="3557" width="20.42578125" style="297" customWidth="1"/>
    <col min="3558" max="3558" width="18.7109375" style="297" customWidth="1"/>
    <col min="3559" max="3609" width="16.85546875" style="297" customWidth="1"/>
    <col min="3610" max="3809" width="8.85546875" style="297"/>
    <col min="3810" max="3810" width="61.7109375" style="297" customWidth="1"/>
    <col min="3811" max="3811" width="18.5703125" style="297" customWidth="1"/>
    <col min="3812" max="3812" width="16.85546875" style="297" customWidth="1"/>
    <col min="3813" max="3813" width="20.42578125" style="297" customWidth="1"/>
    <col min="3814" max="3814" width="18.7109375" style="297" customWidth="1"/>
    <col min="3815" max="3865" width="16.85546875" style="297" customWidth="1"/>
    <col min="3866" max="4065" width="8.85546875" style="297"/>
    <col min="4066" max="4066" width="61.7109375" style="297" customWidth="1"/>
    <col min="4067" max="4067" width="18.5703125" style="297" customWidth="1"/>
    <col min="4068" max="4068" width="16.85546875" style="297" customWidth="1"/>
    <col min="4069" max="4069" width="20.42578125" style="297" customWidth="1"/>
    <col min="4070" max="4070" width="18.7109375" style="297" customWidth="1"/>
    <col min="4071" max="4121" width="16.85546875" style="297" customWidth="1"/>
    <col min="4122" max="4321" width="8.85546875" style="297"/>
    <col min="4322" max="4322" width="61.7109375" style="297" customWidth="1"/>
    <col min="4323" max="4323" width="18.5703125" style="297" customWidth="1"/>
    <col min="4324" max="4324" width="16.85546875" style="297" customWidth="1"/>
    <col min="4325" max="4325" width="20.42578125" style="297" customWidth="1"/>
    <col min="4326" max="4326" width="18.7109375" style="297" customWidth="1"/>
    <col min="4327" max="4377" width="16.85546875" style="297" customWidth="1"/>
    <col min="4378" max="4577" width="8.85546875" style="297"/>
    <col min="4578" max="4578" width="61.7109375" style="297" customWidth="1"/>
    <col min="4579" max="4579" width="18.5703125" style="297" customWidth="1"/>
    <col min="4580" max="4580" width="16.85546875" style="297" customWidth="1"/>
    <col min="4581" max="4581" width="20.42578125" style="297" customWidth="1"/>
    <col min="4582" max="4582" width="18.7109375" style="297" customWidth="1"/>
    <col min="4583" max="4633" width="16.85546875" style="297" customWidth="1"/>
    <col min="4634" max="4833" width="8.85546875" style="297"/>
    <col min="4834" max="4834" width="61.7109375" style="297" customWidth="1"/>
    <col min="4835" max="4835" width="18.5703125" style="297" customWidth="1"/>
    <col min="4836" max="4836" width="16.85546875" style="297" customWidth="1"/>
    <col min="4837" max="4837" width="20.42578125" style="297" customWidth="1"/>
    <col min="4838" max="4838" width="18.7109375" style="297" customWidth="1"/>
    <col min="4839" max="4889" width="16.85546875" style="297" customWidth="1"/>
    <col min="4890" max="5089" width="8.85546875" style="297"/>
    <col min="5090" max="5090" width="61.7109375" style="297" customWidth="1"/>
    <col min="5091" max="5091" width="18.5703125" style="297" customWidth="1"/>
    <col min="5092" max="5092" width="16.85546875" style="297" customWidth="1"/>
    <col min="5093" max="5093" width="20.42578125" style="297" customWidth="1"/>
    <col min="5094" max="5094" width="18.7109375" style="297" customWidth="1"/>
    <col min="5095" max="5145" width="16.85546875" style="297" customWidth="1"/>
    <col min="5146" max="5345" width="8.85546875" style="297"/>
    <col min="5346" max="5346" width="61.7109375" style="297" customWidth="1"/>
    <col min="5347" max="5347" width="18.5703125" style="297" customWidth="1"/>
    <col min="5348" max="5348" width="16.85546875" style="297" customWidth="1"/>
    <col min="5349" max="5349" width="20.42578125" style="297" customWidth="1"/>
    <col min="5350" max="5350" width="18.7109375" style="297" customWidth="1"/>
    <col min="5351" max="5401" width="16.85546875" style="297" customWidth="1"/>
    <col min="5402" max="5601" width="8.85546875" style="297"/>
    <col min="5602" max="5602" width="61.7109375" style="297" customWidth="1"/>
    <col min="5603" max="5603" width="18.5703125" style="297" customWidth="1"/>
    <col min="5604" max="5604" width="16.85546875" style="297" customWidth="1"/>
    <col min="5605" max="5605" width="20.42578125" style="297" customWidth="1"/>
    <col min="5606" max="5606" width="18.7109375" style="297" customWidth="1"/>
    <col min="5607" max="5657" width="16.85546875" style="297" customWidth="1"/>
    <col min="5658" max="5857" width="8.85546875" style="297"/>
    <col min="5858" max="5858" width="61.7109375" style="297" customWidth="1"/>
    <col min="5859" max="5859" width="18.5703125" style="297" customWidth="1"/>
    <col min="5860" max="5860" width="16.85546875" style="297" customWidth="1"/>
    <col min="5861" max="5861" width="20.42578125" style="297" customWidth="1"/>
    <col min="5862" max="5862" width="18.7109375" style="297" customWidth="1"/>
    <col min="5863" max="5913" width="16.85546875" style="297" customWidth="1"/>
    <col min="5914" max="6113" width="8.85546875" style="297"/>
    <col min="6114" max="6114" width="61.7109375" style="297" customWidth="1"/>
    <col min="6115" max="6115" width="18.5703125" style="297" customWidth="1"/>
    <col min="6116" max="6116" width="16.85546875" style="297" customWidth="1"/>
    <col min="6117" max="6117" width="20.42578125" style="297" customWidth="1"/>
    <col min="6118" max="6118" width="18.7109375" style="297" customWidth="1"/>
    <col min="6119" max="6169" width="16.85546875" style="297" customWidth="1"/>
    <col min="6170" max="6369" width="8.85546875" style="297"/>
    <col min="6370" max="6370" width="61.7109375" style="297" customWidth="1"/>
    <col min="6371" max="6371" width="18.5703125" style="297" customWidth="1"/>
    <col min="6372" max="6372" width="16.85546875" style="297" customWidth="1"/>
    <col min="6373" max="6373" width="20.42578125" style="297" customWidth="1"/>
    <col min="6374" max="6374" width="18.7109375" style="297" customWidth="1"/>
    <col min="6375" max="6425" width="16.85546875" style="297" customWidth="1"/>
    <col min="6426" max="6625" width="8.85546875" style="297"/>
    <col min="6626" max="6626" width="61.7109375" style="297" customWidth="1"/>
    <col min="6627" max="6627" width="18.5703125" style="297" customWidth="1"/>
    <col min="6628" max="6628" width="16.85546875" style="297" customWidth="1"/>
    <col min="6629" max="6629" width="20.42578125" style="297" customWidth="1"/>
    <col min="6630" max="6630" width="18.7109375" style="297" customWidth="1"/>
    <col min="6631" max="6681" width="16.85546875" style="297" customWidth="1"/>
    <col min="6682" max="6881" width="8.85546875" style="297"/>
    <col min="6882" max="6882" width="61.7109375" style="297" customWidth="1"/>
    <col min="6883" max="6883" width="18.5703125" style="297" customWidth="1"/>
    <col min="6884" max="6884" width="16.85546875" style="297" customWidth="1"/>
    <col min="6885" max="6885" width="20.42578125" style="297" customWidth="1"/>
    <col min="6886" max="6886" width="18.7109375" style="297" customWidth="1"/>
    <col min="6887" max="6937" width="16.85546875" style="297" customWidth="1"/>
    <col min="6938" max="7137" width="8.85546875" style="297"/>
    <col min="7138" max="7138" width="61.7109375" style="297" customWidth="1"/>
    <col min="7139" max="7139" width="18.5703125" style="297" customWidth="1"/>
    <col min="7140" max="7140" width="16.85546875" style="297" customWidth="1"/>
    <col min="7141" max="7141" width="20.42578125" style="297" customWidth="1"/>
    <col min="7142" max="7142" width="18.7109375" style="297" customWidth="1"/>
    <col min="7143" max="7193" width="16.85546875" style="297" customWidth="1"/>
    <col min="7194" max="7393" width="8.85546875" style="297"/>
    <col min="7394" max="7394" width="61.7109375" style="297" customWidth="1"/>
    <col min="7395" max="7395" width="18.5703125" style="297" customWidth="1"/>
    <col min="7396" max="7396" width="16.85546875" style="297" customWidth="1"/>
    <col min="7397" max="7397" width="20.42578125" style="297" customWidth="1"/>
    <col min="7398" max="7398" width="18.7109375" style="297" customWidth="1"/>
    <col min="7399" max="7449" width="16.85546875" style="297" customWidth="1"/>
    <col min="7450" max="7649" width="8.85546875" style="297"/>
    <col min="7650" max="7650" width="61.7109375" style="297" customWidth="1"/>
    <col min="7651" max="7651" width="18.5703125" style="297" customWidth="1"/>
    <col min="7652" max="7652" width="16.85546875" style="297" customWidth="1"/>
    <col min="7653" max="7653" width="20.42578125" style="297" customWidth="1"/>
    <col min="7654" max="7654" width="18.7109375" style="297" customWidth="1"/>
    <col min="7655" max="7705" width="16.85546875" style="297" customWidth="1"/>
    <col min="7706" max="7905" width="8.85546875" style="297"/>
    <col min="7906" max="7906" width="61.7109375" style="297" customWidth="1"/>
    <col min="7907" max="7907" width="18.5703125" style="297" customWidth="1"/>
    <col min="7908" max="7908" width="16.85546875" style="297" customWidth="1"/>
    <col min="7909" max="7909" width="20.42578125" style="297" customWidth="1"/>
    <col min="7910" max="7910" width="18.7109375" style="297" customWidth="1"/>
    <col min="7911" max="7961" width="16.85546875" style="297" customWidth="1"/>
    <col min="7962" max="8161" width="8.85546875" style="297"/>
    <col min="8162" max="8162" width="61.7109375" style="297" customWidth="1"/>
    <col min="8163" max="8163" width="18.5703125" style="297" customWidth="1"/>
    <col min="8164" max="8164" width="16.85546875" style="297" customWidth="1"/>
    <col min="8165" max="8165" width="20.42578125" style="297" customWidth="1"/>
    <col min="8166" max="8166" width="18.7109375" style="297" customWidth="1"/>
    <col min="8167" max="8217" width="16.85546875" style="297" customWidth="1"/>
    <col min="8218" max="8417" width="8.85546875" style="297"/>
    <col min="8418" max="8418" width="61.7109375" style="297" customWidth="1"/>
    <col min="8419" max="8419" width="18.5703125" style="297" customWidth="1"/>
    <col min="8420" max="8420" width="16.85546875" style="297" customWidth="1"/>
    <col min="8421" max="8421" width="20.42578125" style="297" customWidth="1"/>
    <col min="8422" max="8422" width="18.7109375" style="297" customWidth="1"/>
    <col min="8423" max="8473" width="16.85546875" style="297" customWidth="1"/>
    <col min="8474" max="8673" width="8.85546875" style="297"/>
    <col min="8674" max="8674" width="61.7109375" style="297" customWidth="1"/>
    <col min="8675" max="8675" width="18.5703125" style="297" customWidth="1"/>
    <col min="8676" max="8676" width="16.85546875" style="297" customWidth="1"/>
    <col min="8677" max="8677" width="20.42578125" style="297" customWidth="1"/>
    <col min="8678" max="8678" width="18.7109375" style="297" customWidth="1"/>
    <col min="8679" max="8729" width="16.85546875" style="297" customWidth="1"/>
    <col min="8730" max="8929" width="8.85546875" style="297"/>
    <col min="8930" max="8930" width="61.7109375" style="297" customWidth="1"/>
    <col min="8931" max="8931" width="18.5703125" style="297" customWidth="1"/>
    <col min="8932" max="8932" width="16.85546875" style="297" customWidth="1"/>
    <col min="8933" max="8933" width="20.42578125" style="297" customWidth="1"/>
    <col min="8934" max="8934" width="18.7109375" style="297" customWidth="1"/>
    <col min="8935" max="8985" width="16.85546875" style="297" customWidth="1"/>
    <col min="8986" max="9185" width="8.85546875" style="297"/>
    <col min="9186" max="9186" width="61.7109375" style="297" customWidth="1"/>
    <col min="9187" max="9187" width="18.5703125" style="297" customWidth="1"/>
    <col min="9188" max="9188" width="16.85546875" style="297" customWidth="1"/>
    <col min="9189" max="9189" width="20.42578125" style="297" customWidth="1"/>
    <col min="9190" max="9190" width="18.7109375" style="297" customWidth="1"/>
    <col min="9191" max="9241" width="16.85546875" style="297" customWidth="1"/>
    <col min="9242" max="9441" width="8.85546875" style="297"/>
    <col min="9442" max="9442" width="61.7109375" style="297" customWidth="1"/>
    <col min="9443" max="9443" width="18.5703125" style="297" customWidth="1"/>
    <col min="9444" max="9444" width="16.85546875" style="297" customWidth="1"/>
    <col min="9445" max="9445" width="20.42578125" style="297" customWidth="1"/>
    <col min="9446" max="9446" width="18.7109375" style="297" customWidth="1"/>
    <col min="9447" max="9497" width="16.85546875" style="297" customWidth="1"/>
    <col min="9498" max="9697" width="8.85546875" style="297"/>
    <col min="9698" max="9698" width="61.7109375" style="297" customWidth="1"/>
    <col min="9699" max="9699" width="18.5703125" style="297" customWidth="1"/>
    <col min="9700" max="9700" width="16.85546875" style="297" customWidth="1"/>
    <col min="9701" max="9701" width="20.42578125" style="297" customWidth="1"/>
    <col min="9702" max="9702" width="18.7109375" style="297" customWidth="1"/>
    <col min="9703" max="9753" width="16.85546875" style="297" customWidth="1"/>
    <col min="9754" max="9953" width="8.85546875" style="297"/>
    <col min="9954" max="9954" width="61.7109375" style="297" customWidth="1"/>
    <col min="9955" max="9955" width="18.5703125" style="297" customWidth="1"/>
    <col min="9956" max="9956" width="16.85546875" style="297" customWidth="1"/>
    <col min="9957" max="9957" width="20.42578125" style="297" customWidth="1"/>
    <col min="9958" max="9958" width="18.7109375" style="297" customWidth="1"/>
    <col min="9959" max="10009" width="16.85546875" style="297" customWidth="1"/>
    <col min="10010" max="10209" width="8.85546875" style="297"/>
    <col min="10210" max="10210" width="61.7109375" style="297" customWidth="1"/>
    <col min="10211" max="10211" width="18.5703125" style="297" customWidth="1"/>
    <col min="10212" max="10212" width="16.85546875" style="297" customWidth="1"/>
    <col min="10213" max="10213" width="20.42578125" style="297" customWidth="1"/>
    <col min="10214" max="10214" width="18.7109375" style="297" customWidth="1"/>
    <col min="10215" max="10265" width="16.85546875" style="297" customWidth="1"/>
    <col min="10266" max="10465" width="8.85546875" style="297"/>
    <col min="10466" max="10466" width="61.7109375" style="297" customWidth="1"/>
    <col min="10467" max="10467" width="18.5703125" style="297" customWidth="1"/>
    <col min="10468" max="10468" width="16.85546875" style="297" customWidth="1"/>
    <col min="10469" max="10469" width="20.42578125" style="297" customWidth="1"/>
    <col min="10470" max="10470" width="18.7109375" style="297" customWidth="1"/>
    <col min="10471" max="10521" width="16.85546875" style="297" customWidth="1"/>
    <col min="10522" max="10721" width="8.85546875" style="297"/>
    <col min="10722" max="10722" width="61.7109375" style="297" customWidth="1"/>
    <col min="10723" max="10723" width="18.5703125" style="297" customWidth="1"/>
    <col min="10724" max="10724" width="16.85546875" style="297" customWidth="1"/>
    <col min="10725" max="10725" width="20.42578125" style="297" customWidth="1"/>
    <col min="10726" max="10726" width="18.7109375" style="297" customWidth="1"/>
    <col min="10727" max="10777" width="16.85546875" style="297" customWidth="1"/>
    <col min="10778" max="10977" width="8.85546875" style="297"/>
    <col min="10978" max="10978" width="61.7109375" style="297" customWidth="1"/>
    <col min="10979" max="10979" width="18.5703125" style="297" customWidth="1"/>
    <col min="10980" max="10980" width="16.85546875" style="297" customWidth="1"/>
    <col min="10981" max="10981" width="20.42578125" style="297" customWidth="1"/>
    <col min="10982" max="10982" width="18.7109375" style="297" customWidth="1"/>
    <col min="10983" max="11033" width="16.85546875" style="297" customWidth="1"/>
    <col min="11034" max="11233" width="8.85546875" style="297"/>
    <col min="11234" max="11234" width="61.7109375" style="297" customWidth="1"/>
    <col min="11235" max="11235" width="18.5703125" style="297" customWidth="1"/>
    <col min="11236" max="11236" width="16.85546875" style="297" customWidth="1"/>
    <col min="11237" max="11237" width="20.42578125" style="297" customWidth="1"/>
    <col min="11238" max="11238" width="18.7109375" style="297" customWidth="1"/>
    <col min="11239" max="11289" width="16.85546875" style="297" customWidth="1"/>
    <col min="11290" max="11489" width="8.85546875" style="297"/>
    <col min="11490" max="11490" width="61.7109375" style="297" customWidth="1"/>
    <col min="11491" max="11491" width="18.5703125" style="297" customWidth="1"/>
    <col min="11492" max="11492" width="16.85546875" style="297" customWidth="1"/>
    <col min="11493" max="11493" width="20.42578125" style="297" customWidth="1"/>
    <col min="11494" max="11494" width="18.7109375" style="297" customWidth="1"/>
    <col min="11495" max="11545" width="16.85546875" style="297" customWidth="1"/>
    <col min="11546" max="11745" width="8.85546875" style="297"/>
    <col min="11746" max="11746" width="61.7109375" style="297" customWidth="1"/>
    <col min="11747" max="11747" width="18.5703125" style="297" customWidth="1"/>
    <col min="11748" max="11748" width="16.85546875" style="297" customWidth="1"/>
    <col min="11749" max="11749" width="20.42578125" style="297" customWidth="1"/>
    <col min="11750" max="11750" width="18.7109375" style="297" customWidth="1"/>
    <col min="11751" max="11801" width="16.85546875" style="297" customWidth="1"/>
    <col min="11802" max="12001" width="8.85546875" style="297"/>
    <col min="12002" max="12002" width="61.7109375" style="297" customWidth="1"/>
    <col min="12003" max="12003" width="18.5703125" style="297" customWidth="1"/>
    <col min="12004" max="12004" width="16.85546875" style="297" customWidth="1"/>
    <col min="12005" max="12005" width="20.42578125" style="297" customWidth="1"/>
    <col min="12006" max="12006" width="18.7109375" style="297" customWidth="1"/>
    <col min="12007" max="12057" width="16.85546875" style="297" customWidth="1"/>
    <col min="12058" max="12257" width="8.85546875" style="297"/>
    <col min="12258" max="12258" width="61.7109375" style="297" customWidth="1"/>
    <col min="12259" max="12259" width="18.5703125" style="297" customWidth="1"/>
    <col min="12260" max="12260" width="16.85546875" style="297" customWidth="1"/>
    <col min="12261" max="12261" width="20.42578125" style="297" customWidth="1"/>
    <col min="12262" max="12262" width="18.7109375" style="297" customWidth="1"/>
    <col min="12263" max="12313" width="16.85546875" style="297" customWidth="1"/>
    <col min="12314" max="12513" width="8.85546875" style="297"/>
    <col min="12514" max="12514" width="61.7109375" style="297" customWidth="1"/>
    <col min="12515" max="12515" width="18.5703125" style="297" customWidth="1"/>
    <col min="12516" max="12516" width="16.85546875" style="297" customWidth="1"/>
    <col min="12517" max="12517" width="20.42578125" style="297" customWidth="1"/>
    <col min="12518" max="12518" width="18.7109375" style="297" customWidth="1"/>
    <col min="12519" max="12569" width="16.85546875" style="297" customWidth="1"/>
    <col min="12570" max="12769" width="8.85546875" style="297"/>
    <col min="12770" max="12770" width="61.7109375" style="297" customWidth="1"/>
    <col min="12771" max="12771" width="18.5703125" style="297" customWidth="1"/>
    <col min="12772" max="12772" width="16.85546875" style="297" customWidth="1"/>
    <col min="12773" max="12773" width="20.42578125" style="297" customWidth="1"/>
    <col min="12774" max="12774" width="18.7109375" style="297" customWidth="1"/>
    <col min="12775" max="12825" width="16.85546875" style="297" customWidth="1"/>
    <col min="12826" max="13025" width="8.85546875" style="297"/>
    <col min="13026" max="13026" width="61.7109375" style="297" customWidth="1"/>
    <col min="13027" max="13027" width="18.5703125" style="297" customWidth="1"/>
    <col min="13028" max="13028" width="16.85546875" style="297" customWidth="1"/>
    <col min="13029" max="13029" width="20.42578125" style="297" customWidth="1"/>
    <col min="13030" max="13030" width="18.7109375" style="297" customWidth="1"/>
    <col min="13031" max="13081" width="16.85546875" style="297" customWidth="1"/>
    <col min="13082" max="13281" width="8.85546875" style="297"/>
    <col min="13282" max="13282" width="61.7109375" style="297" customWidth="1"/>
    <col min="13283" max="13283" width="18.5703125" style="297" customWidth="1"/>
    <col min="13284" max="13284" width="16.85546875" style="297" customWidth="1"/>
    <col min="13285" max="13285" width="20.42578125" style="297" customWidth="1"/>
    <col min="13286" max="13286" width="18.7109375" style="297" customWidth="1"/>
    <col min="13287" max="13337" width="16.85546875" style="297" customWidth="1"/>
    <col min="13338" max="13537" width="8.85546875" style="297"/>
    <col min="13538" max="13538" width="61.7109375" style="297" customWidth="1"/>
    <col min="13539" max="13539" width="18.5703125" style="297" customWidth="1"/>
    <col min="13540" max="13540" width="16.85546875" style="297" customWidth="1"/>
    <col min="13541" max="13541" width="20.42578125" style="297" customWidth="1"/>
    <col min="13542" max="13542" width="18.7109375" style="297" customWidth="1"/>
    <col min="13543" max="13593" width="16.85546875" style="297" customWidth="1"/>
    <col min="13594" max="13793" width="8.85546875" style="297"/>
    <col min="13794" max="13794" width="61.7109375" style="297" customWidth="1"/>
    <col min="13795" max="13795" width="18.5703125" style="297" customWidth="1"/>
    <col min="13796" max="13796" width="16.85546875" style="297" customWidth="1"/>
    <col min="13797" max="13797" width="20.42578125" style="297" customWidth="1"/>
    <col min="13798" max="13798" width="18.7109375" style="297" customWidth="1"/>
    <col min="13799" max="13849" width="16.85546875" style="297" customWidth="1"/>
    <col min="13850" max="14049" width="8.85546875" style="297"/>
    <col min="14050" max="14050" width="61.7109375" style="297" customWidth="1"/>
    <col min="14051" max="14051" width="18.5703125" style="297" customWidth="1"/>
    <col min="14052" max="14052" width="16.85546875" style="297" customWidth="1"/>
    <col min="14053" max="14053" width="20.42578125" style="297" customWidth="1"/>
    <col min="14054" max="14054" width="18.7109375" style="297" customWidth="1"/>
    <col min="14055" max="14105" width="16.85546875" style="297" customWidth="1"/>
    <col min="14106" max="14305" width="8.85546875" style="297"/>
    <col min="14306" max="14306" width="61.7109375" style="297" customWidth="1"/>
    <col min="14307" max="14307" width="18.5703125" style="297" customWidth="1"/>
    <col min="14308" max="14308" width="16.85546875" style="297" customWidth="1"/>
    <col min="14309" max="14309" width="20.42578125" style="297" customWidth="1"/>
    <col min="14310" max="14310" width="18.7109375" style="297" customWidth="1"/>
    <col min="14311" max="14361" width="16.85546875" style="297" customWidth="1"/>
    <col min="14362" max="14561" width="8.85546875" style="297"/>
    <col min="14562" max="14562" width="61.7109375" style="297" customWidth="1"/>
    <col min="14563" max="14563" width="18.5703125" style="297" customWidth="1"/>
    <col min="14564" max="14564" width="16.85546875" style="297" customWidth="1"/>
    <col min="14565" max="14565" width="20.42578125" style="297" customWidth="1"/>
    <col min="14566" max="14566" width="18.7109375" style="297" customWidth="1"/>
    <col min="14567" max="14617" width="16.85546875" style="297" customWidth="1"/>
    <col min="14618" max="14817" width="8.85546875" style="297"/>
    <col min="14818" max="14818" width="61.7109375" style="297" customWidth="1"/>
    <col min="14819" max="14819" width="18.5703125" style="297" customWidth="1"/>
    <col min="14820" max="14820" width="16.85546875" style="297" customWidth="1"/>
    <col min="14821" max="14821" width="20.42578125" style="297" customWidth="1"/>
    <col min="14822" max="14822" width="18.7109375" style="297" customWidth="1"/>
    <col min="14823" max="14873" width="16.85546875" style="297" customWidth="1"/>
    <col min="14874" max="15073" width="8.85546875" style="297"/>
    <col min="15074" max="15074" width="61.7109375" style="297" customWidth="1"/>
    <col min="15075" max="15075" width="18.5703125" style="297" customWidth="1"/>
    <col min="15076" max="15076" width="16.85546875" style="297" customWidth="1"/>
    <col min="15077" max="15077" width="20.42578125" style="297" customWidth="1"/>
    <col min="15078" max="15078" width="18.7109375" style="297" customWidth="1"/>
    <col min="15079" max="15129" width="16.85546875" style="297" customWidth="1"/>
    <col min="15130" max="15329" width="8.85546875" style="297"/>
    <col min="15330" max="15330" width="61.7109375" style="297" customWidth="1"/>
    <col min="15331" max="15331" width="18.5703125" style="297" customWidth="1"/>
    <col min="15332" max="15332" width="16.85546875" style="297" customWidth="1"/>
    <col min="15333" max="15333" width="20.42578125" style="297" customWidth="1"/>
    <col min="15334" max="15334" width="18.7109375" style="297" customWidth="1"/>
    <col min="15335" max="15385" width="16.85546875" style="297" customWidth="1"/>
    <col min="15386" max="15585" width="8.85546875" style="297"/>
    <col min="15586" max="15586" width="61.7109375" style="297" customWidth="1"/>
    <col min="15587" max="15587" width="18.5703125" style="297" customWidth="1"/>
    <col min="15588" max="15588" width="16.85546875" style="297" customWidth="1"/>
    <col min="15589" max="15589" width="20.42578125" style="297" customWidth="1"/>
    <col min="15590" max="15590" width="18.7109375" style="297" customWidth="1"/>
    <col min="15591" max="15641" width="16.85546875" style="297" customWidth="1"/>
    <col min="15642" max="15841" width="8.85546875" style="297"/>
    <col min="15842" max="15842" width="61.7109375" style="297" customWidth="1"/>
    <col min="15843" max="15843" width="18.5703125" style="297" customWidth="1"/>
    <col min="15844" max="15844" width="16.85546875" style="297" customWidth="1"/>
    <col min="15845" max="15845" width="20.42578125" style="297" customWidth="1"/>
    <col min="15846" max="15846" width="18.7109375" style="297" customWidth="1"/>
    <col min="15847" max="15897" width="16.85546875" style="297" customWidth="1"/>
    <col min="15898" max="16097" width="8.85546875" style="297"/>
    <col min="16098" max="16098" width="61.7109375" style="297" customWidth="1"/>
    <col min="16099" max="16099" width="18.5703125" style="297" customWidth="1"/>
    <col min="16100" max="16100" width="16.85546875" style="297" customWidth="1"/>
    <col min="16101" max="16101" width="20.42578125" style="297" customWidth="1"/>
    <col min="16102" max="16102" width="18.7109375" style="297" customWidth="1"/>
    <col min="16103" max="16153" width="16.85546875" style="297" customWidth="1"/>
    <col min="16154" max="16384" width="8.85546875" style="297"/>
  </cols>
  <sheetData>
    <row r="2" spans="1:8" ht="18.75" x14ac:dyDescent="0.2">
      <c r="G2" s="185"/>
      <c r="H2" s="192" t="s">
        <v>66</v>
      </c>
    </row>
    <row r="3" spans="1:8" ht="18.75" x14ac:dyDescent="0.3">
      <c r="G3" s="185"/>
      <c r="H3" s="186" t="s">
        <v>8</v>
      </c>
    </row>
    <row r="4" spans="1:8" ht="18.75" x14ac:dyDescent="0.3">
      <c r="G4" s="185"/>
      <c r="H4" s="186" t="s">
        <v>324</v>
      </c>
    </row>
    <row r="5" spans="1:8" x14ac:dyDescent="0.2">
      <c r="G5" s="185"/>
      <c r="H5" s="185"/>
    </row>
    <row r="6" spans="1:8" x14ac:dyDescent="0.2">
      <c r="A6" s="412" t="str">
        <f>'1. паспорт местоположение'!A5:C5</f>
        <v>Год раскрытия информации: 2019 год</v>
      </c>
      <c r="B6" s="412"/>
      <c r="C6" s="412"/>
      <c r="D6" s="412"/>
      <c r="E6" s="412"/>
      <c r="F6" s="412"/>
      <c r="G6" s="412"/>
      <c r="H6" s="412"/>
    </row>
    <row r="7" spans="1:8" x14ac:dyDescent="0.2">
      <c r="A7" s="187"/>
      <c r="B7" s="185"/>
      <c r="C7" s="185"/>
      <c r="D7" s="185"/>
      <c r="E7" s="185"/>
      <c r="F7" s="185"/>
      <c r="G7" s="185"/>
      <c r="H7" s="185"/>
    </row>
    <row r="8" spans="1:8" ht="18.75" x14ac:dyDescent="0.2">
      <c r="A8" s="363" t="s">
        <v>7</v>
      </c>
      <c r="B8" s="363"/>
      <c r="C8" s="363"/>
      <c r="D8" s="363"/>
      <c r="E8" s="363"/>
      <c r="F8" s="363"/>
      <c r="G8" s="363"/>
      <c r="H8" s="363"/>
    </row>
    <row r="9" spans="1:8" ht="18.75" x14ac:dyDescent="0.2">
      <c r="A9" s="262"/>
      <c r="B9" s="262"/>
      <c r="C9" s="262"/>
      <c r="D9" s="262"/>
      <c r="E9" s="262"/>
      <c r="F9" s="262"/>
      <c r="G9" s="262"/>
      <c r="H9" s="262"/>
    </row>
    <row r="10" spans="1:8" ht="18.75" x14ac:dyDescent="0.2">
      <c r="A10" s="387" t="s">
        <v>539</v>
      </c>
      <c r="B10" s="387"/>
      <c r="C10" s="387"/>
      <c r="D10" s="387"/>
      <c r="E10" s="387"/>
      <c r="F10" s="387"/>
      <c r="G10" s="387"/>
      <c r="H10" s="387"/>
    </row>
    <row r="11" spans="1:8" x14ac:dyDescent="0.2">
      <c r="A11" s="368" t="s">
        <v>6</v>
      </c>
      <c r="B11" s="368"/>
      <c r="C11" s="368"/>
      <c r="D11" s="368"/>
      <c r="E11" s="368"/>
      <c r="F11" s="368"/>
      <c r="G11" s="368"/>
      <c r="H11" s="368"/>
    </row>
    <row r="12" spans="1:8" ht="18.75" x14ac:dyDescent="0.2">
      <c r="A12" s="262"/>
      <c r="B12" s="262"/>
      <c r="C12" s="262"/>
      <c r="D12" s="262"/>
      <c r="E12" s="262"/>
      <c r="F12" s="262"/>
      <c r="G12" s="262"/>
      <c r="H12" s="262"/>
    </row>
    <row r="13" spans="1:8" ht="18.75" x14ac:dyDescent="0.2">
      <c r="A13" s="387" t="str">
        <f>'1. паспорт местоположение'!A12:C12</f>
        <v>J_140-109</v>
      </c>
      <c r="B13" s="387"/>
      <c r="C13" s="387"/>
      <c r="D13" s="387"/>
      <c r="E13" s="387"/>
      <c r="F13" s="387"/>
      <c r="G13" s="387"/>
      <c r="H13" s="387"/>
    </row>
    <row r="14" spans="1:8" x14ac:dyDescent="0.2">
      <c r="A14" s="368" t="s">
        <v>5</v>
      </c>
      <c r="B14" s="368"/>
      <c r="C14" s="368"/>
      <c r="D14" s="368"/>
      <c r="E14" s="368"/>
      <c r="F14" s="368"/>
      <c r="G14" s="368"/>
      <c r="H14" s="368"/>
    </row>
    <row r="15" spans="1:8" ht="18.75" x14ac:dyDescent="0.2">
      <c r="A15" s="263"/>
      <c r="B15" s="263"/>
      <c r="C15" s="263"/>
      <c r="D15" s="263"/>
      <c r="E15" s="263"/>
      <c r="F15" s="263"/>
      <c r="G15" s="263"/>
      <c r="H15" s="263"/>
    </row>
    <row r="16" spans="1:8" ht="56.45" customHeight="1" x14ac:dyDescent="0.2">
      <c r="A16" s="371" t="str">
        <f>'1. паспорт местоположение'!A15:C15</f>
        <v>Приобретение электросетевого комплекса ул.1-ая Большая окружная, с/т г.Калининград (дог.безв 3509 от 10.04.2019 гр. Щербанев В.М.)</v>
      </c>
      <c r="B16" s="371"/>
      <c r="C16" s="371"/>
      <c r="D16" s="371"/>
      <c r="E16" s="371"/>
      <c r="F16" s="371"/>
      <c r="G16" s="371"/>
      <c r="H16" s="371"/>
    </row>
    <row r="17" spans="1:20" x14ac:dyDescent="0.2">
      <c r="A17" s="368" t="s">
        <v>4</v>
      </c>
      <c r="B17" s="368"/>
      <c r="C17" s="368"/>
      <c r="D17" s="368"/>
      <c r="E17" s="368"/>
      <c r="F17" s="368"/>
      <c r="G17" s="368"/>
      <c r="H17" s="368"/>
    </row>
    <row r="18" spans="1:20" ht="18.75" x14ac:dyDescent="0.2">
      <c r="A18" s="264"/>
      <c r="B18" s="264"/>
      <c r="C18" s="264"/>
      <c r="D18" s="264"/>
      <c r="E18" s="264"/>
      <c r="F18" s="264"/>
      <c r="G18" s="264"/>
      <c r="H18" s="264"/>
    </row>
    <row r="19" spans="1:20" ht="18.75" x14ac:dyDescent="0.2">
      <c r="A19" s="387" t="s">
        <v>471</v>
      </c>
      <c r="B19" s="387"/>
      <c r="C19" s="387"/>
      <c r="D19" s="387"/>
      <c r="E19" s="387"/>
      <c r="F19" s="387"/>
      <c r="G19" s="387"/>
      <c r="H19" s="387"/>
    </row>
    <row r="21" spans="1:20" x14ac:dyDescent="0.2">
      <c r="A21" s="268" t="s">
        <v>540</v>
      </c>
      <c r="B21" s="269" t="s">
        <v>541</v>
      </c>
      <c r="C21" s="270"/>
      <c r="D21" s="270"/>
      <c r="E21" s="271">
        <f>B25*1.18+B26</f>
        <v>1208.32</v>
      </c>
      <c r="F21" s="270" t="s">
        <v>542</v>
      </c>
      <c r="G21" s="272"/>
    </row>
    <row r="22" spans="1:20" ht="15.75" customHeight="1" x14ac:dyDescent="0.3">
      <c r="A22" s="273"/>
      <c r="C22" s="274"/>
      <c r="D22" s="274"/>
      <c r="E22" s="275"/>
      <c r="F22" s="276"/>
      <c r="L22" s="277"/>
      <c r="M22" s="277"/>
      <c r="N22" s="277"/>
      <c r="O22" s="277"/>
      <c r="P22" s="277"/>
      <c r="Q22" s="277"/>
      <c r="R22" s="277"/>
      <c r="S22" s="277"/>
      <c r="T22" s="277"/>
    </row>
    <row r="23" spans="1:20" ht="15.75" customHeight="1" x14ac:dyDescent="0.3">
      <c r="D23" s="278"/>
      <c r="E23" s="275"/>
      <c r="L23" s="277"/>
      <c r="M23" s="277"/>
      <c r="N23" s="277"/>
      <c r="O23" s="277"/>
      <c r="P23" s="277"/>
      <c r="Q23" s="277"/>
      <c r="R23" s="277"/>
      <c r="S23" s="277"/>
      <c r="T23" s="277"/>
    </row>
    <row r="24" spans="1:20" ht="16.5" customHeight="1" thickBot="1" x14ac:dyDescent="0.35">
      <c r="A24" s="279" t="s">
        <v>323</v>
      </c>
      <c r="B24" s="279" t="s">
        <v>1</v>
      </c>
      <c r="C24" s="280"/>
      <c r="D24" s="281" t="s">
        <v>322</v>
      </c>
      <c r="H24" s="282"/>
      <c r="L24" s="277"/>
      <c r="M24" s="277"/>
      <c r="N24" s="277"/>
      <c r="O24" s="277"/>
      <c r="P24" s="277"/>
      <c r="Q24" s="277"/>
      <c r="R24" s="277"/>
      <c r="S24" s="277"/>
      <c r="T24" s="277"/>
    </row>
    <row r="25" spans="1:20" ht="15.75" customHeight="1" x14ac:dyDescent="0.3">
      <c r="A25" s="283" t="s">
        <v>591</v>
      </c>
      <c r="B25" s="348">
        <v>1024</v>
      </c>
      <c r="C25" s="284"/>
      <c r="D25" s="285" t="s">
        <v>321</v>
      </c>
      <c r="E25" s="285"/>
      <c r="F25" s="286"/>
      <c r="G25" s="287" t="str">
        <f>IF(SUM($B$91:$BD$91)=0,"0",SUM($B$91:$BD$91))</f>
        <v>0</v>
      </c>
      <c r="L25" s="277"/>
      <c r="M25" s="277"/>
      <c r="N25" s="277"/>
      <c r="O25" s="277"/>
      <c r="P25" s="277"/>
      <c r="Q25" s="277"/>
      <c r="R25" s="277"/>
      <c r="S25" s="277"/>
      <c r="T25" s="277"/>
    </row>
    <row r="26" spans="1:20" ht="28.5" customHeight="1" x14ac:dyDescent="0.3">
      <c r="A26" s="288" t="s">
        <v>543</v>
      </c>
      <c r="B26" s="289">
        <v>0</v>
      </c>
      <c r="D26" s="285" t="s">
        <v>319</v>
      </c>
      <c r="E26" s="285"/>
      <c r="F26" s="290"/>
      <c r="G26" s="287" t="str">
        <f>IF(SUM($B$92:$BD$92)=0,"не окупается",SUM($B$92:$BD$92))</f>
        <v>не окупается</v>
      </c>
      <c r="L26" s="277"/>
      <c r="M26" s="277"/>
      <c r="N26" s="277"/>
      <c r="O26" s="277"/>
      <c r="P26" s="277"/>
      <c r="Q26" s="277"/>
      <c r="R26" s="277"/>
      <c r="S26" s="277"/>
      <c r="T26" s="277"/>
    </row>
    <row r="27" spans="1:20" ht="15.75" customHeight="1" x14ac:dyDescent="0.3">
      <c r="A27" s="288" t="s">
        <v>320</v>
      </c>
      <c r="B27" s="289">
        <v>10</v>
      </c>
      <c r="D27" s="411" t="s">
        <v>544</v>
      </c>
      <c r="E27" s="411"/>
      <c r="F27" s="411"/>
      <c r="G27" s="291">
        <f>W89</f>
        <v>25123.750997038514</v>
      </c>
      <c r="L27" s="277"/>
      <c r="M27" s="277"/>
      <c r="N27" s="277"/>
      <c r="O27" s="277"/>
      <c r="P27" s="277"/>
      <c r="Q27" s="277"/>
      <c r="R27" s="277"/>
      <c r="S27" s="277"/>
      <c r="T27" s="277"/>
    </row>
    <row r="28" spans="1:20" ht="16.5" customHeight="1" x14ac:dyDescent="0.3">
      <c r="A28" s="288" t="s">
        <v>318</v>
      </c>
      <c r="B28" s="289">
        <v>1</v>
      </c>
      <c r="D28" s="411" t="s">
        <v>545</v>
      </c>
      <c r="E28" s="411"/>
      <c r="F28" s="411"/>
      <c r="G28" s="292" t="str">
        <f>IF(G27&gt;0,"да","нет")</f>
        <v>да</v>
      </c>
      <c r="L28" s="277"/>
      <c r="M28" s="277"/>
      <c r="N28" s="277"/>
      <c r="O28" s="277"/>
      <c r="P28" s="277"/>
      <c r="Q28" s="277"/>
      <c r="R28" s="277"/>
      <c r="S28" s="277"/>
      <c r="T28" s="277"/>
    </row>
    <row r="29" spans="1:20" ht="15.75" hidden="1" customHeight="1" x14ac:dyDescent="0.3">
      <c r="A29" s="288" t="s">
        <v>317</v>
      </c>
      <c r="B29" s="289"/>
      <c r="D29" s="408"/>
      <c r="E29" s="408"/>
      <c r="F29" s="293"/>
      <c r="G29" s="294"/>
      <c r="L29" s="277"/>
      <c r="M29" s="277"/>
      <c r="N29" s="277"/>
      <c r="O29" s="277"/>
      <c r="P29" s="277"/>
      <c r="Q29" s="277"/>
      <c r="R29" s="277"/>
      <c r="S29" s="277"/>
      <c r="T29" s="277"/>
    </row>
    <row r="30" spans="1:20" ht="15.75" hidden="1" customHeight="1" x14ac:dyDescent="0.3">
      <c r="A30" s="288" t="s">
        <v>546</v>
      </c>
      <c r="B30" s="289">
        <v>3</v>
      </c>
      <c r="D30" s="408"/>
      <c r="E30" s="408"/>
      <c r="F30" s="293"/>
      <c r="G30" s="295"/>
      <c r="L30" s="277"/>
      <c r="M30" s="277"/>
      <c r="N30" s="277"/>
      <c r="O30" s="277"/>
      <c r="P30" s="277"/>
      <c r="Q30" s="277"/>
      <c r="R30" s="277"/>
      <c r="S30" s="277"/>
      <c r="T30" s="277"/>
    </row>
    <row r="31" spans="1:20" ht="15.75" hidden="1" customHeight="1" x14ac:dyDescent="0.3">
      <c r="A31" s="288" t="s">
        <v>316</v>
      </c>
      <c r="B31" s="289">
        <v>8</v>
      </c>
      <c r="D31" s="408"/>
      <c r="E31" s="408"/>
      <c r="F31" s="293"/>
      <c r="G31" s="296"/>
      <c r="L31" s="277"/>
      <c r="M31" s="277"/>
      <c r="N31" s="277"/>
      <c r="O31" s="277"/>
      <c r="P31" s="277"/>
      <c r="Q31" s="277"/>
      <c r="R31" s="277"/>
      <c r="S31" s="277"/>
      <c r="T31" s="277"/>
    </row>
    <row r="32" spans="1:20" ht="15.75" hidden="1" customHeight="1" x14ac:dyDescent="0.3">
      <c r="A32" s="288" t="s">
        <v>298</v>
      </c>
      <c r="B32" s="289"/>
      <c r="L32" s="277"/>
      <c r="M32" s="277"/>
      <c r="N32" s="277"/>
      <c r="O32" s="277"/>
      <c r="P32" s="277"/>
      <c r="Q32" s="277"/>
      <c r="R32" s="277"/>
      <c r="S32" s="277"/>
      <c r="T32" s="277"/>
    </row>
    <row r="33" spans="1:26" ht="15.75" hidden="1" customHeight="1" x14ac:dyDescent="0.3">
      <c r="A33" s="288" t="s">
        <v>315</v>
      </c>
      <c r="B33" s="289"/>
      <c r="L33" s="277"/>
      <c r="M33" s="277"/>
      <c r="N33" s="277"/>
      <c r="O33" s="277"/>
      <c r="P33" s="277"/>
      <c r="Q33" s="277"/>
      <c r="R33" s="277"/>
      <c r="S33" s="277"/>
      <c r="T33" s="277"/>
    </row>
    <row r="34" spans="1:26" ht="15.75" hidden="1" customHeight="1" x14ac:dyDescent="0.3">
      <c r="A34" s="288" t="s">
        <v>314</v>
      </c>
      <c r="B34" s="289"/>
      <c r="L34" s="277"/>
      <c r="M34" s="277"/>
      <c r="N34" s="277"/>
      <c r="O34" s="277"/>
      <c r="P34" s="277"/>
      <c r="Q34" s="277"/>
      <c r="R34" s="277"/>
      <c r="S34" s="277"/>
      <c r="T34" s="277"/>
    </row>
    <row r="35" spans="1:26" ht="15.75" hidden="1" customHeight="1" x14ac:dyDescent="0.3">
      <c r="A35" s="288" t="s">
        <v>547</v>
      </c>
      <c r="B35" s="289"/>
      <c r="L35" s="277"/>
      <c r="M35" s="277"/>
      <c r="N35" s="277"/>
      <c r="O35" s="277"/>
      <c r="P35" s="277"/>
      <c r="Q35" s="277"/>
      <c r="R35" s="277"/>
      <c r="S35" s="277"/>
      <c r="T35" s="277"/>
    </row>
    <row r="36" spans="1:26" ht="16.5" customHeight="1" x14ac:dyDescent="0.3">
      <c r="A36" s="288" t="s">
        <v>292</v>
      </c>
      <c r="B36" s="298">
        <v>0.2</v>
      </c>
      <c r="L36" s="277"/>
      <c r="M36" s="277"/>
      <c r="N36" s="277"/>
      <c r="O36" s="277"/>
      <c r="P36" s="277"/>
      <c r="Q36" s="277"/>
      <c r="R36" s="277"/>
      <c r="S36" s="277"/>
      <c r="T36" s="277"/>
    </row>
    <row r="37" spans="1:26" ht="15.75" hidden="1" customHeight="1" x14ac:dyDescent="0.3">
      <c r="A37" s="288" t="s">
        <v>509</v>
      </c>
      <c r="B37" s="289">
        <v>0</v>
      </c>
      <c r="L37" s="277"/>
      <c r="M37" s="277"/>
      <c r="N37" s="277"/>
      <c r="O37" s="277"/>
      <c r="P37" s="277"/>
      <c r="Q37" s="277"/>
      <c r="R37" s="277"/>
      <c r="S37" s="277"/>
      <c r="T37" s="277"/>
    </row>
    <row r="38" spans="1:26" ht="15.75" hidden="1" customHeight="1" x14ac:dyDescent="0.3">
      <c r="A38" s="288" t="s">
        <v>313</v>
      </c>
      <c r="B38" s="289"/>
      <c r="L38" s="277"/>
      <c r="M38" s="277"/>
      <c r="N38" s="277"/>
      <c r="O38" s="277"/>
      <c r="P38" s="277"/>
      <c r="Q38" s="277"/>
      <c r="R38" s="277"/>
      <c r="S38" s="277"/>
      <c r="T38" s="277"/>
    </row>
    <row r="39" spans="1:26" ht="16.5" hidden="1" customHeight="1" x14ac:dyDescent="0.3">
      <c r="A39" s="288" t="s">
        <v>312</v>
      </c>
      <c r="B39" s="299">
        <v>0.09</v>
      </c>
      <c r="L39" s="277"/>
      <c r="M39" s="277"/>
      <c r="N39" s="277"/>
      <c r="O39" s="277"/>
      <c r="P39" s="277"/>
      <c r="Q39" s="277"/>
      <c r="R39" s="277"/>
      <c r="S39" s="277"/>
      <c r="T39" s="277"/>
    </row>
    <row r="40" spans="1:26" ht="15.75" hidden="1" customHeight="1" x14ac:dyDescent="0.3">
      <c r="A40" s="300" t="s">
        <v>548</v>
      </c>
      <c r="B40" s="301">
        <v>10</v>
      </c>
      <c r="L40" s="277"/>
      <c r="M40" s="277"/>
      <c r="N40" s="277"/>
      <c r="O40" s="277"/>
      <c r="P40" s="277"/>
      <c r="Q40" s="277"/>
      <c r="R40" s="277"/>
      <c r="S40" s="277"/>
      <c r="T40" s="277"/>
    </row>
    <row r="41" spans="1:26" hidden="1" x14ac:dyDescent="0.2">
      <c r="A41" s="288" t="s">
        <v>311</v>
      </c>
      <c r="B41" s="302">
        <v>0.1</v>
      </c>
      <c r="L41" s="303"/>
      <c r="M41" s="303"/>
      <c r="N41" s="303"/>
      <c r="O41" s="303"/>
      <c r="P41" s="303"/>
    </row>
    <row r="42" spans="1:26" hidden="1" x14ac:dyDescent="0.2">
      <c r="A42" s="288" t="s">
        <v>310</v>
      </c>
      <c r="B42" s="298">
        <v>0.1</v>
      </c>
    </row>
    <row r="43" spans="1:26" x14ac:dyDescent="0.2">
      <c r="A43" s="288" t="s">
        <v>309</v>
      </c>
      <c r="B43" s="298">
        <v>0</v>
      </c>
      <c r="D43" s="304"/>
      <c r="E43" s="274"/>
      <c r="F43" s="274"/>
    </row>
    <row r="44" spans="1:26" x14ac:dyDescent="0.2">
      <c r="A44" s="288" t="s">
        <v>308</v>
      </c>
      <c r="B44" s="305">
        <v>0.16500000000000001</v>
      </c>
      <c r="C44" s="274"/>
    </row>
    <row r="45" spans="1:26" ht="16.5" thickBot="1" x14ac:dyDescent="0.25">
      <c r="A45" s="288" t="s">
        <v>307</v>
      </c>
      <c r="B45" s="298">
        <f>1-B43</f>
        <v>1</v>
      </c>
    </row>
    <row r="46" spans="1:26" ht="16.5" hidden="1" thickBot="1" x14ac:dyDescent="0.25">
      <c r="A46" s="306" t="s">
        <v>549</v>
      </c>
      <c r="B46" s="307">
        <f>B45*B44+B43*B42*(1-B36)</f>
        <v>0.16500000000000001</v>
      </c>
    </row>
    <row r="47" spans="1:26" x14ac:dyDescent="0.2">
      <c r="A47" s="308" t="s">
        <v>306</v>
      </c>
      <c r="B47" s="202">
        <v>2018</v>
      </c>
      <c r="C47" s="202">
        <f>B47+1</f>
        <v>2019</v>
      </c>
      <c r="D47" s="202">
        <f t="shared" ref="D47:I47" si="0">C47+1</f>
        <v>2020</v>
      </c>
      <c r="E47" s="202">
        <f t="shared" si="0"/>
        <v>2021</v>
      </c>
      <c r="F47" s="202">
        <f t="shared" si="0"/>
        <v>2022</v>
      </c>
      <c r="G47" s="202">
        <f t="shared" si="0"/>
        <v>2023</v>
      </c>
      <c r="H47" s="202">
        <f t="shared" si="0"/>
        <v>2024</v>
      </c>
      <c r="I47" s="202">
        <f t="shared" si="0"/>
        <v>2025</v>
      </c>
      <c r="J47" s="202">
        <f>I47+1</f>
        <v>2026</v>
      </c>
      <c r="K47" s="202">
        <f t="shared" ref="K47:Z47" si="1">J47+1</f>
        <v>2027</v>
      </c>
      <c r="L47" s="202">
        <f t="shared" si="1"/>
        <v>2028</v>
      </c>
      <c r="M47" s="202">
        <f t="shared" si="1"/>
        <v>2029</v>
      </c>
      <c r="N47" s="202">
        <f t="shared" si="1"/>
        <v>2030</v>
      </c>
      <c r="O47" s="202">
        <f t="shared" si="1"/>
        <v>2031</v>
      </c>
      <c r="P47" s="202">
        <f t="shared" si="1"/>
        <v>2032</v>
      </c>
      <c r="Q47" s="202">
        <f t="shared" si="1"/>
        <v>2033</v>
      </c>
      <c r="R47" s="202">
        <f t="shared" si="1"/>
        <v>2034</v>
      </c>
      <c r="S47" s="202">
        <f t="shared" si="1"/>
        <v>2035</v>
      </c>
      <c r="T47" s="202">
        <f t="shared" si="1"/>
        <v>2036</v>
      </c>
      <c r="U47" s="202">
        <f t="shared" si="1"/>
        <v>2037</v>
      </c>
      <c r="V47" s="202">
        <f t="shared" si="1"/>
        <v>2038</v>
      </c>
      <c r="W47" s="202">
        <f t="shared" si="1"/>
        <v>2039</v>
      </c>
      <c r="X47" s="202">
        <f t="shared" si="1"/>
        <v>2040</v>
      </c>
      <c r="Y47" s="202">
        <f t="shared" si="1"/>
        <v>2041</v>
      </c>
      <c r="Z47" s="202">
        <f t="shared" si="1"/>
        <v>2042</v>
      </c>
    </row>
    <row r="48" spans="1:26" s="311" customFormat="1" x14ac:dyDescent="0.2">
      <c r="A48" s="309" t="s">
        <v>305</v>
      </c>
      <c r="B48" s="310">
        <v>4.9000000000000002E-2</v>
      </c>
      <c r="C48" s="310">
        <v>0.05</v>
      </c>
      <c r="D48" s="310">
        <v>4.3999999999999997E-2</v>
      </c>
      <c r="E48" s="310">
        <v>4.2000000000000003E-2</v>
      </c>
      <c r="F48" s="310">
        <v>4.2999999999999997E-2</v>
      </c>
      <c r="G48" s="310">
        <v>4.3999999999999997E-2</v>
      </c>
      <c r="H48" s="310">
        <f t="shared" ref="H48:Z48" si="2">G48</f>
        <v>4.3999999999999997E-2</v>
      </c>
      <c r="I48" s="310">
        <v>4.2999999999999997E-2</v>
      </c>
      <c r="J48" s="310">
        <v>4.2000000000000003E-2</v>
      </c>
      <c r="K48" s="310">
        <v>4.1000000000000002E-2</v>
      </c>
      <c r="L48" s="310">
        <v>0.04</v>
      </c>
      <c r="M48" s="310">
        <f t="shared" si="2"/>
        <v>0.04</v>
      </c>
      <c r="N48" s="310">
        <f t="shared" si="2"/>
        <v>0.04</v>
      </c>
      <c r="O48" s="310">
        <f t="shared" si="2"/>
        <v>0.04</v>
      </c>
      <c r="P48" s="310">
        <f t="shared" si="2"/>
        <v>0.04</v>
      </c>
      <c r="Q48" s="310">
        <f t="shared" si="2"/>
        <v>0.04</v>
      </c>
      <c r="R48" s="310">
        <f t="shared" si="2"/>
        <v>0.04</v>
      </c>
      <c r="S48" s="310">
        <f t="shared" si="2"/>
        <v>0.04</v>
      </c>
      <c r="T48" s="310">
        <f t="shared" si="2"/>
        <v>0.04</v>
      </c>
      <c r="U48" s="310">
        <f t="shared" si="2"/>
        <v>0.04</v>
      </c>
      <c r="V48" s="310">
        <f t="shared" si="2"/>
        <v>0.04</v>
      </c>
      <c r="W48" s="310">
        <f t="shared" si="2"/>
        <v>0.04</v>
      </c>
      <c r="X48" s="310">
        <f t="shared" si="2"/>
        <v>0.04</v>
      </c>
      <c r="Y48" s="310">
        <f t="shared" si="2"/>
        <v>0.04</v>
      </c>
      <c r="Z48" s="310">
        <f t="shared" si="2"/>
        <v>0.04</v>
      </c>
    </row>
    <row r="49" spans="1:26" s="311" customFormat="1" x14ac:dyDescent="0.2">
      <c r="A49" s="309" t="s">
        <v>304</v>
      </c>
      <c r="B49" s="310">
        <f>B48</f>
        <v>4.9000000000000002E-2</v>
      </c>
      <c r="C49" s="310">
        <f>(1+B49)*(1+C48)-1</f>
        <v>0.10145000000000004</v>
      </c>
      <c r="D49" s="310">
        <f>(1+C49)*(1+D48)-1</f>
        <v>0.14991379999999999</v>
      </c>
      <c r="E49" s="310">
        <f>(1+D49)*(1+E48)-1</f>
        <v>0.19821017959999998</v>
      </c>
      <c r="F49" s="310">
        <f>(1+E49)*(1+F48)-1</f>
        <v>0.24973321732279996</v>
      </c>
      <c r="G49" s="310">
        <f>(1+F49)*(1+G48)-1</f>
        <v>0.30472147888500323</v>
      </c>
      <c r="H49" s="310">
        <f t="shared" ref="H49:Z49" si="3">(1+G49)*(1+H48)-1</f>
        <v>0.36212922395594349</v>
      </c>
      <c r="I49" s="310">
        <f t="shared" si="3"/>
        <v>0.42070078058604898</v>
      </c>
      <c r="J49" s="310">
        <f t="shared" si="3"/>
        <v>0.4803702133706631</v>
      </c>
      <c r="K49" s="310">
        <f t="shared" si="3"/>
        <v>0.54106539211886018</v>
      </c>
      <c r="L49" s="310">
        <f t="shared" si="3"/>
        <v>0.60270800780361466</v>
      </c>
      <c r="M49" s="310">
        <f t="shared" si="3"/>
        <v>0.6668163281157593</v>
      </c>
      <c r="N49" s="310">
        <f t="shared" si="3"/>
        <v>0.73348898124038975</v>
      </c>
      <c r="O49" s="310">
        <f t="shared" si="3"/>
        <v>0.80282854049000529</v>
      </c>
      <c r="P49" s="310">
        <f t="shared" si="3"/>
        <v>0.87494168210960566</v>
      </c>
      <c r="Q49" s="310">
        <f t="shared" si="3"/>
        <v>0.94993934939399005</v>
      </c>
      <c r="R49" s="310">
        <f t="shared" si="3"/>
        <v>1.0279369233697495</v>
      </c>
      <c r="S49" s="310">
        <f t="shared" si="3"/>
        <v>1.1090544003045397</v>
      </c>
      <c r="T49" s="310">
        <f t="shared" si="3"/>
        <v>1.1934165763167215</v>
      </c>
      <c r="U49" s="310">
        <f t="shared" si="3"/>
        <v>1.2811532393693903</v>
      </c>
      <c r="V49" s="310">
        <f t="shared" si="3"/>
        <v>1.372399368944166</v>
      </c>
      <c r="W49" s="310">
        <f t="shared" si="3"/>
        <v>1.4672953437019327</v>
      </c>
      <c r="X49" s="310">
        <f t="shared" si="3"/>
        <v>1.5659871574500102</v>
      </c>
      <c r="Y49" s="310">
        <f t="shared" si="3"/>
        <v>1.6686266437480106</v>
      </c>
      <c r="Z49" s="310">
        <f t="shared" si="3"/>
        <v>1.7753717094979313</v>
      </c>
    </row>
    <row r="50" spans="1:26" s="311" customFormat="1" ht="16.5" thickBot="1" x14ac:dyDescent="0.25">
      <c r="A50" s="312" t="s">
        <v>510</v>
      </c>
      <c r="B50" s="206">
        <f>B59</f>
        <v>0</v>
      </c>
      <c r="C50" s="206">
        <f>C59</f>
        <v>4260.9590405173149</v>
      </c>
      <c r="D50" s="206">
        <f t="shared" ref="D50:Y50" si="4">D59</f>
        <v>4305.7028789977039</v>
      </c>
      <c r="E50" s="206">
        <f t="shared" si="4"/>
        <v>5824.4942648192464</v>
      </c>
      <c r="F50" s="206">
        <f t="shared" si="4"/>
        <v>4400.2015661559353</v>
      </c>
      <c r="G50" s="206">
        <f t="shared" si="4"/>
        <v>4456.2511476247628</v>
      </c>
      <c r="H50" s="206">
        <f t="shared" si="4"/>
        <v>4516.4932679649974</v>
      </c>
      <c r="I50" s="206">
        <f t="shared" si="4"/>
        <v>4578.7520688005443</v>
      </c>
      <c r="J50" s="206">
        <f t="shared" si="4"/>
        <v>4642.9132956857602</v>
      </c>
      <c r="K50" s="206">
        <f t="shared" si="4"/>
        <v>4708.8519597012491</v>
      </c>
      <c r="L50" s="206">
        <f t="shared" si="4"/>
        <v>4776.432365092689</v>
      </c>
      <c r="M50" s="206">
        <f t="shared" si="4"/>
        <v>4848.2854024150402</v>
      </c>
      <c r="N50" s="206">
        <f t="shared" si="4"/>
        <v>4924.5819769455402</v>
      </c>
      <c r="O50" s="206">
        <f t="shared" si="4"/>
        <v>5005.4998301725136</v>
      </c>
      <c r="P50" s="206">
        <f t="shared" si="4"/>
        <v>5091.2238132438215</v>
      </c>
      <c r="Q50" s="206">
        <f t="shared" si="4"/>
        <v>5181.9461713532355</v>
      </c>
      <c r="R50" s="206">
        <f t="shared" si="4"/>
        <v>3514.0575867904163</v>
      </c>
      <c r="S50" s="206">
        <f t="shared" si="4"/>
        <v>3654.6198902620331</v>
      </c>
      <c r="T50" s="206">
        <f t="shared" si="4"/>
        <v>3800.8046858725147</v>
      </c>
      <c r="U50" s="206">
        <f t="shared" si="4"/>
        <v>3952.8368733074153</v>
      </c>
      <c r="V50" s="206">
        <f t="shared" si="4"/>
        <v>4110.9503482397122</v>
      </c>
      <c r="W50" s="206">
        <f t="shared" si="4"/>
        <v>4275.3883621693012</v>
      </c>
      <c r="X50" s="206">
        <f>X59</f>
        <v>0</v>
      </c>
      <c r="Y50" s="206">
        <f t="shared" si="4"/>
        <v>0</v>
      </c>
      <c r="Z50" s="206">
        <f>Z59</f>
        <v>0</v>
      </c>
    </row>
    <row r="51" spans="1:26" hidden="1" x14ac:dyDescent="0.2">
      <c r="B51" s="274"/>
    </row>
    <row r="52" spans="1:26" hidden="1" x14ac:dyDescent="0.2">
      <c r="A52" s="313" t="s">
        <v>550</v>
      </c>
      <c r="B52" s="202">
        <v>1</v>
      </c>
      <c r="C52" s="202">
        <f>B52+1</f>
        <v>2</v>
      </c>
      <c r="D52" s="202">
        <f t="shared" ref="D52:Z52" si="5">C52+1</f>
        <v>3</v>
      </c>
      <c r="E52" s="202">
        <f t="shared" si="5"/>
        <v>4</v>
      </c>
      <c r="F52" s="202">
        <f t="shared" si="5"/>
        <v>5</v>
      </c>
      <c r="G52" s="202">
        <f t="shared" si="5"/>
        <v>6</v>
      </c>
      <c r="H52" s="202">
        <f t="shared" si="5"/>
        <v>7</v>
      </c>
      <c r="I52" s="202">
        <f t="shared" si="5"/>
        <v>8</v>
      </c>
      <c r="J52" s="202">
        <f t="shared" si="5"/>
        <v>9</v>
      </c>
      <c r="K52" s="202">
        <f t="shared" si="5"/>
        <v>10</v>
      </c>
      <c r="L52" s="202">
        <f t="shared" si="5"/>
        <v>11</v>
      </c>
      <c r="M52" s="202">
        <f t="shared" si="5"/>
        <v>12</v>
      </c>
      <c r="N52" s="202">
        <f t="shared" si="5"/>
        <v>13</v>
      </c>
      <c r="O52" s="202">
        <f t="shared" si="5"/>
        <v>14</v>
      </c>
      <c r="P52" s="202">
        <f t="shared" si="5"/>
        <v>15</v>
      </c>
      <c r="Q52" s="202">
        <f t="shared" si="5"/>
        <v>16</v>
      </c>
      <c r="R52" s="202">
        <f t="shared" si="5"/>
        <v>17</v>
      </c>
      <c r="S52" s="202">
        <f t="shared" si="5"/>
        <v>18</v>
      </c>
      <c r="T52" s="202">
        <f t="shared" si="5"/>
        <v>19</v>
      </c>
      <c r="U52" s="202">
        <f t="shared" si="5"/>
        <v>20</v>
      </c>
      <c r="V52" s="202">
        <f t="shared" si="5"/>
        <v>21</v>
      </c>
      <c r="W52" s="202">
        <f t="shared" si="5"/>
        <v>22</v>
      </c>
      <c r="X52" s="202">
        <f t="shared" si="5"/>
        <v>23</v>
      </c>
      <c r="Y52" s="202">
        <f t="shared" si="5"/>
        <v>24</v>
      </c>
      <c r="Z52" s="202">
        <f t="shared" si="5"/>
        <v>25</v>
      </c>
    </row>
    <row r="53" spans="1:26" hidden="1" x14ac:dyDescent="0.2">
      <c r="A53" s="203" t="s">
        <v>303</v>
      </c>
      <c r="B53" s="314">
        <f>B25*1.18*0</f>
        <v>0</v>
      </c>
      <c r="C53" s="314">
        <f>B53+(B67+C67)*0</f>
        <v>0</v>
      </c>
      <c r="D53" s="314">
        <f>C53+C54-C55</f>
        <v>0</v>
      </c>
      <c r="E53" s="314">
        <f t="shared" ref="E53:Z53" si="6">D53+D54-D55</f>
        <v>0</v>
      </c>
      <c r="F53" s="314">
        <f t="shared" si="6"/>
        <v>0</v>
      </c>
      <c r="G53" s="314">
        <f t="shared" si="6"/>
        <v>0</v>
      </c>
      <c r="H53" s="314">
        <f t="shared" si="6"/>
        <v>0</v>
      </c>
      <c r="I53" s="314">
        <f t="shared" si="6"/>
        <v>0</v>
      </c>
      <c r="J53" s="314">
        <f t="shared" si="6"/>
        <v>0</v>
      </c>
      <c r="K53" s="314">
        <f t="shared" si="6"/>
        <v>0</v>
      </c>
      <c r="L53" s="314">
        <f t="shared" si="6"/>
        <v>0</v>
      </c>
      <c r="M53" s="314">
        <f t="shared" si="6"/>
        <v>0</v>
      </c>
      <c r="N53" s="314">
        <f t="shared" si="6"/>
        <v>0</v>
      </c>
      <c r="O53" s="314">
        <f t="shared" si="6"/>
        <v>0</v>
      </c>
      <c r="P53" s="314">
        <f t="shared" si="6"/>
        <v>0</v>
      </c>
      <c r="Q53" s="314">
        <f t="shared" si="6"/>
        <v>0</v>
      </c>
      <c r="R53" s="314">
        <f t="shared" si="6"/>
        <v>0</v>
      </c>
      <c r="S53" s="314">
        <f t="shared" si="6"/>
        <v>0</v>
      </c>
      <c r="T53" s="314">
        <f t="shared" si="6"/>
        <v>0</v>
      </c>
      <c r="U53" s="314">
        <f t="shared" si="6"/>
        <v>0</v>
      </c>
      <c r="V53" s="314">
        <f t="shared" si="6"/>
        <v>0</v>
      </c>
      <c r="W53" s="314">
        <f t="shared" si="6"/>
        <v>0</v>
      </c>
      <c r="X53" s="314">
        <f t="shared" si="6"/>
        <v>0</v>
      </c>
      <c r="Y53" s="314">
        <f t="shared" si="6"/>
        <v>0</v>
      </c>
      <c r="Z53" s="314">
        <f t="shared" si="6"/>
        <v>0</v>
      </c>
    </row>
    <row r="54" spans="1:26" hidden="1" x14ac:dyDescent="0.2">
      <c r="A54" s="203" t="s">
        <v>551</v>
      </c>
      <c r="B54" s="314">
        <v>0</v>
      </c>
      <c r="C54" s="204"/>
      <c r="D54" s="314">
        <v>0</v>
      </c>
      <c r="E54" s="314">
        <v>0</v>
      </c>
      <c r="F54" s="314">
        <v>0</v>
      </c>
      <c r="G54" s="314">
        <v>0</v>
      </c>
      <c r="H54" s="314">
        <v>0</v>
      </c>
      <c r="I54" s="314">
        <v>0</v>
      </c>
      <c r="J54" s="314">
        <v>0</v>
      </c>
      <c r="K54" s="314">
        <v>0</v>
      </c>
      <c r="L54" s="314">
        <v>0</v>
      </c>
      <c r="M54" s="314">
        <v>0</v>
      </c>
      <c r="N54" s="314">
        <v>0</v>
      </c>
      <c r="O54" s="314">
        <v>0</v>
      </c>
      <c r="P54" s="314">
        <v>0</v>
      </c>
      <c r="Q54" s="314">
        <v>0</v>
      </c>
      <c r="R54" s="314">
        <v>0</v>
      </c>
      <c r="S54" s="314">
        <v>0</v>
      </c>
      <c r="T54" s="314">
        <v>0</v>
      </c>
      <c r="U54" s="314">
        <v>0</v>
      </c>
      <c r="V54" s="314">
        <v>0</v>
      </c>
      <c r="W54" s="314">
        <v>0</v>
      </c>
      <c r="X54" s="314">
        <v>0</v>
      </c>
      <c r="Y54" s="314">
        <v>0</v>
      </c>
      <c r="Z54" s="314">
        <v>0</v>
      </c>
    </row>
    <row r="55" spans="1:26" hidden="1" x14ac:dyDescent="0.2">
      <c r="A55" s="203" t="s">
        <v>302</v>
      </c>
      <c r="B55" s="314">
        <v>0</v>
      </c>
      <c r="C55" s="314">
        <f>C53/B40</f>
        <v>0</v>
      </c>
      <c r="D55" s="314">
        <f t="shared" ref="D55:Z55" si="7">IF(ROUND(D53,1)=0,0,C55+D54/$B$40)</f>
        <v>0</v>
      </c>
      <c r="E55" s="314">
        <f t="shared" si="7"/>
        <v>0</v>
      </c>
      <c r="F55" s="314">
        <f t="shared" si="7"/>
        <v>0</v>
      </c>
      <c r="G55" s="314">
        <f t="shared" si="7"/>
        <v>0</v>
      </c>
      <c r="H55" s="314">
        <f t="shared" si="7"/>
        <v>0</v>
      </c>
      <c r="I55" s="314">
        <f t="shared" si="7"/>
        <v>0</v>
      </c>
      <c r="J55" s="314">
        <f t="shared" si="7"/>
        <v>0</v>
      </c>
      <c r="K55" s="314">
        <f t="shared" si="7"/>
        <v>0</v>
      </c>
      <c r="L55" s="314">
        <f t="shared" si="7"/>
        <v>0</v>
      </c>
      <c r="M55" s="314">
        <f t="shared" si="7"/>
        <v>0</v>
      </c>
      <c r="N55" s="314">
        <f t="shared" si="7"/>
        <v>0</v>
      </c>
      <c r="O55" s="314">
        <f t="shared" si="7"/>
        <v>0</v>
      </c>
      <c r="P55" s="314">
        <f t="shared" si="7"/>
        <v>0</v>
      </c>
      <c r="Q55" s="314">
        <f t="shared" si="7"/>
        <v>0</v>
      </c>
      <c r="R55" s="314">
        <f t="shared" si="7"/>
        <v>0</v>
      </c>
      <c r="S55" s="314">
        <f t="shared" si="7"/>
        <v>0</v>
      </c>
      <c r="T55" s="314">
        <f t="shared" si="7"/>
        <v>0</v>
      </c>
      <c r="U55" s="314">
        <f t="shared" si="7"/>
        <v>0</v>
      </c>
      <c r="V55" s="314">
        <f t="shared" si="7"/>
        <v>0</v>
      </c>
      <c r="W55" s="314">
        <f t="shared" si="7"/>
        <v>0</v>
      </c>
      <c r="X55" s="314">
        <f t="shared" si="7"/>
        <v>0</v>
      </c>
      <c r="Y55" s="314">
        <f t="shared" si="7"/>
        <v>0</v>
      </c>
      <c r="Z55" s="314">
        <f t="shared" si="7"/>
        <v>0</v>
      </c>
    </row>
    <row r="56" spans="1:26" ht="17.25" hidden="1" customHeight="1" thickBot="1" x14ac:dyDescent="0.25">
      <c r="A56" s="205" t="s">
        <v>301</v>
      </c>
      <c r="B56" s="315">
        <f>((800000-156400.91544/12*3)/1.18*0.1/12*3)*2*0</f>
        <v>0</v>
      </c>
      <c r="C56" s="315">
        <f>((800000-156400.91544/12*3)/1.18*0.1/12*3)*2*2*0</f>
        <v>0</v>
      </c>
      <c r="D56" s="315">
        <f t="shared" ref="D56:Z56" si="8">AVERAGE(SUM(D53:D54),(SUM(D53:D54)-D55))*$B$42*0</f>
        <v>0</v>
      </c>
      <c r="E56" s="315">
        <f t="shared" si="8"/>
        <v>0</v>
      </c>
      <c r="F56" s="315">
        <f t="shared" si="8"/>
        <v>0</v>
      </c>
      <c r="G56" s="315">
        <f t="shared" si="8"/>
        <v>0</v>
      </c>
      <c r="H56" s="315">
        <f t="shared" si="8"/>
        <v>0</v>
      </c>
      <c r="I56" s="315">
        <f t="shared" si="8"/>
        <v>0</v>
      </c>
      <c r="J56" s="315">
        <f t="shared" si="8"/>
        <v>0</v>
      </c>
      <c r="K56" s="315">
        <f t="shared" si="8"/>
        <v>0</v>
      </c>
      <c r="L56" s="315">
        <f t="shared" si="8"/>
        <v>0</v>
      </c>
      <c r="M56" s="315">
        <f t="shared" si="8"/>
        <v>0</v>
      </c>
      <c r="N56" s="315">
        <f t="shared" si="8"/>
        <v>0</v>
      </c>
      <c r="O56" s="315">
        <f t="shared" si="8"/>
        <v>0</v>
      </c>
      <c r="P56" s="315">
        <f t="shared" si="8"/>
        <v>0</v>
      </c>
      <c r="Q56" s="315">
        <f t="shared" si="8"/>
        <v>0</v>
      </c>
      <c r="R56" s="315">
        <f t="shared" si="8"/>
        <v>0</v>
      </c>
      <c r="S56" s="315">
        <f t="shared" si="8"/>
        <v>0</v>
      </c>
      <c r="T56" s="315">
        <f t="shared" si="8"/>
        <v>0</v>
      </c>
      <c r="U56" s="315">
        <f t="shared" si="8"/>
        <v>0</v>
      </c>
      <c r="V56" s="315">
        <f t="shared" si="8"/>
        <v>0</v>
      </c>
      <c r="W56" s="315">
        <f t="shared" si="8"/>
        <v>0</v>
      </c>
      <c r="X56" s="315">
        <f t="shared" si="8"/>
        <v>0</v>
      </c>
      <c r="Y56" s="315">
        <f t="shared" si="8"/>
        <v>0</v>
      </c>
      <c r="Z56" s="315">
        <f t="shared" si="8"/>
        <v>0</v>
      </c>
    </row>
    <row r="57" spans="1:26" ht="16.5" thickBot="1" x14ac:dyDescent="0.25">
      <c r="A57" s="293"/>
      <c r="B57" s="316"/>
      <c r="C57" s="316"/>
      <c r="D57" s="316"/>
      <c r="E57" s="316"/>
      <c r="F57" s="316"/>
      <c r="G57" s="316"/>
      <c r="H57" s="316"/>
      <c r="I57" s="316"/>
      <c r="J57" s="316"/>
      <c r="K57" s="316"/>
      <c r="L57" s="316"/>
      <c r="M57" s="316"/>
      <c r="N57" s="316"/>
      <c r="O57" s="316"/>
      <c r="P57" s="316"/>
      <c r="Q57" s="316"/>
      <c r="R57" s="316"/>
      <c r="S57" s="316"/>
      <c r="T57" s="316"/>
      <c r="U57" s="316"/>
      <c r="V57" s="316"/>
      <c r="W57" s="316"/>
      <c r="X57" s="316"/>
      <c r="Y57" s="316"/>
      <c r="Z57" s="316"/>
    </row>
    <row r="58" spans="1:26" x14ac:dyDescent="0.2">
      <c r="A58" s="313" t="s">
        <v>511</v>
      </c>
      <c r="B58" s="202">
        <v>1</v>
      </c>
      <c r="C58" s="202">
        <f>B58+1</f>
        <v>2</v>
      </c>
      <c r="D58" s="317">
        <f t="shared" ref="D58:Z58" si="9">C58+1</f>
        <v>3</v>
      </c>
      <c r="E58" s="317">
        <f t="shared" si="9"/>
        <v>4</v>
      </c>
      <c r="F58" s="317">
        <f t="shared" si="9"/>
        <v>5</v>
      </c>
      <c r="G58" s="317">
        <f t="shared" si="9"/>
        <v>6</v>
      </c>
      <c r="H58" s="317">
        <f t="shared" si="9"/>
        <v>7</v>
      </c>
      <c r="I58" s="317">
        <f t="shared" si="9"/>
        <v>8</v>
      </c>
      <c r="J58" s="317">
        <f t="shared" si="9"/>
        <v>9</v>
      </c>
      <c r="K58" s="317">
        <f t="shared" si="9"/>
        <v>10</v>
      </c>
      <c r="L58" s="317">
        <f t="shared" si="9"/>
        <v>11</v>
      </c>
      <c r="M58" s="317">
        <f t="shared" si="9"/>
        <v>12</v>
      </c>
      <c r="N58" s="317">
        <f t="shared" si="9"/>
        <v>13</v>
      </c>
      <c r="O58" s="317">
        <f t="shared" si="9"/>
        <v>14</v>
      </c>
      <c r="P58" s="317">
        <f t="shared" si="9"/>
        <v>15</v>
      </c>
      <c r="Q58" s="317">
        <f t="shared" si="9"/>
        <v>16</v>
      </c>
      <c r="R58" s="317">
        <f t="shared" si="9"/>
        <v>17</v>
      </c>
      <c r="S58" s="317">
        <f t="shared" si="9"/>
        <v>18</v>
      </c>
      <c r="T58" s="317">
        <f t="shared" si="9"/>
        <v>19</v>
      </c>
      <c r="U58" s="317">
        <f t="shared" si="9"/>
        <v>20</v>
      </c>
      <c r="V58" s="317">
        <f t="shared" si="9"/>
        <v>21</v>
      </c>
      <c r="W58" s="317">
        <f t="shared" si="9"/>
        <v>22</v>
      </c>
      <c r="X58" s="317">
        <f t="shared" si="9"/>
        <v>23</v>
      </c>
      <c r="Y58" s="317">
        <f t="shared" si="9"/>
        <v>24</v>
      </c>
      <c r="Z58" s="317">
        <f t="shared" si="9"/>
        <v>25</v>
      </c>
    </row>
    <row r="59" spans="1:26" ht="14.25" x14ac:dyDescent="0.2">
      <c r="A59" s="318" t="s">
        <v>300</v>
      </c>
      <c r="B59" s="207">
        <f>'[85]расчет '!D21*0</f>
        <v>0</v>
      </c>
      <c r="C59" s="207">
        <f>'[85]расчет '!E35</f>
        <v>4260.9590405173149</v>
      </c>
      <c r="D59" s="207">
        <f>'[85]расчет '!F35</f>
        <v>4305.7028789977039</v>
      </c>
      <c r="E59" s="207">
        <f>'[85]расчет '!G35</f>
        <v>5824.4942648192464</v>
      </c>
      <c r="F59" s="207">
        <f>'[85]расчет '!H35</f>
        <v>4400.2015661559353</v>
      </c>
      <c r="G59" s="207">
        <f>'[85]расчет '!I35</f>
        <v>4456.2511476247628</v>
      </c>
      <c r="H59" s="207">
        <f>'[85]расчет '!J35</f>
        <v>4516.4932679649974</v>
      </c>
      <c r="I59" s="207">
        <f>'[85]расчет '!K35</f>
        <v>4578.7520688005443</v>
      </c>
      <c r="J59" s="207">
        <f>'[85]расчет '!L35</f>
        <v>4642.9132956857602</v>
      </c>
      <c r="K59" s="207">
        <f>'[85]расчет '!M35</f>
        <v>4708.8519597012491</v>
      </c>
      <c r="L59" s="207">
        <f>'[85]расчет '!N35</f>
        <v>4776.432365092689</v>
      </c>
      <c r="M59" s="207">
        <f>'[85]расчет '!O35</f>
        <v>4848.2854024150402</v>
      </c>
      <c r="N59" s="207">
        <f>'[85]расчет '!P35</f>
        <v>4924.5819769455402</v>
      </c>
      <c r="O59" s="207">
        <f>'[85]расчет '!Q35</f>
        <v>5005.4998301725136</v>
      </c>
      <c r="P59" s="207">
        <f>'[85]расчет '!R35</f>
        <v>5091.2238132438215</v>
      </c>
      <c r="Q59" s="207">
        <f>'[85]расчет '!S35</f>
        <v>5181.9461713532355</v>
      </c>
      <c r="R59" s="207">
        <f>'[85]расчет '!T35</f>
        <v>3514.0575867904163</v>
      </c>
      <c r="S59" s="207">
        <f>'[85]расчет '!U35</f>
        <v>3654.6198902620331</v>
      </c>
      <c r="T59" s="207">
        <f>'[85]расчет '!V35</f>
        <v>3800.8046858725147</v>
      </c>
      <c r="U59" s="207">
        <f>'[85]расчет '!W35</f>
        <v>3952.8368733074153</v>
      </c>
      <c r="V59" s="207">
        <f>'[85]расчет '!X35</f>
        <v>4110.9503482397122</v>
      </c>
      <c r="W59" s="207">
        <f>'[85]расчет '!Y35</f>
        <v>4275.3883621693012</v>
      </c>
      <c r="X59" s="319"/>
      <c r="Y59" s="319"/>
      <c r="Z59" s="319"/>
    </row>
    <row r="60" spans="1:26" x14ac:dyDescent="0.2">
      <c r="A60" s="320" t="s">
        <v>299</v>
      </c>
      <c r="B60" s="204">
        <f>SUM(B62:B67)</f>
        <v>0</v>
      </c>
      <c r="C60" s="204">
        <f>SUM(C61:C67)</f>
        <v>-1003.1944339516428</v>
      </c>
      <c r="D60" s="204">
        <f t="shared" ref="D60:W60" si="10">SUM(D61:D67)</f>
        <v>-983.1114155058541</v>
      </c>
      <c r="E60" s="204">
        <f t="shared" si="10"/>
        <v>-962.91638631201533</v>
      </c>
      <c r="F60" s="204">
        <f t="shared" si="10"/>
        <v>-943.9965683683472</v>
      </c>
      <c r="G60" s="204">
        <f t="shared" si="10"/>
        <v>-926.44302369723243</v>
      </c>
      <c r="H60" s="204">
        <f t="shared" si="10"/>
        <v>-909.84243634736833</v>
      </c>
      <c r="I60" s="204">
        <f t="shared" si="10"/>
        <v>-893.69971823691526</v>
      </c>
      <c r="J60" s="204">
        <f t="shared" si="10"/>
        <v>-877.98987226286579</v>
      </c>
      <c r="K60" s="204">
        <f t="shared" si="10"/>
        <v>-862.68445883327036</v>
      </c>
      <c r="L60" s="204">
        <f t="shared" si="10"/>
        <v>-847.75260215609262</v>
      </c>
      <c r="M60" s="204">
        <f t="shared" si="10"/>
        <v>-833.79392692708211</v>
      </c>
      <c r="N60" s="204">
        <f t="shared" si="10"/>
        <v>-820.84632040416534</v>
      </c>
      <c r="O60" s="204">
        <f t="shared" si="10"/>
        <v>-808.9502253355862</v>
      </c>
      <c r="P60" s="204">
        <f t="shared" si="10"/>
        <v>-798.14770217951809</v>
      </c>
      <c r="Q60" s="204">
        <f t="shared" si="10"/>
        <v>-788.4824938124616</v>
      </c>
      <c r="R60" s="204">
        <f t="shared" si="10"/>
        <v>-799.61778926665488</v>
      </c>
      <c r="S60" s="204">
        <f t="shared" si="10"/>
        <v>-831.60090083732109</v>
      </c>
      <c r="T60" s="204">
        <f t="shared" si="10"/>
        <v>-864.86333687081401</v>
      </c>
      <c r="U60" s="204">
        <f t="shared" si="10"/>
        <v>-899.45627034564666</v>
      </c>
      <c r="V60" s="204">
        <f t="shared" si="10"/>
        <v>-935.43292115947258</v>
      </c>
      <c r="W60" s="204">
        <f t="shared" si="10"/>
        <v>-972.84863800585151</v>
      </c>
      <c r="X60" s="314">
        <f>SUM(X62:X67)</f>
        <v>0</v>
      </c>
      <c r="Y60" s="314">
        <f>SUM(Y62:Y67)</f>
        <v>0</v>
      </c>
      <c r="Z60" s="314">
        <f>SUM(Z62:Z67)</f>
        <v>0</v>
      </c>
    </row>
    <row r="61" spans="1:26" x14ac:dyDescent="0.2">
      <c r="A61" s="320" t="s">
        <v>552</v>
      </c>
      <c r="B61" s="204">
        <v>0</v>
      </c>
      <c r="C61" s="204">
        <f>-'[85]расчет '!E45</f>
        <v>-434.28123717198179</v>
      </c>
      <c r="D61" s="204">
        <f>-'[85]расчет '!F45</f>
        <v>-453.389611607549</v>
      </c>
      <c r="E61" s="204">
        <f>-'[85]расчет '!G45</f>
        <v>-472.43197529506608</v>
      </c>
      <c r="F61" s="204">
        <f>-'[85]расчет '!H45</f>
        <v>-492.74655023275386</v>
      </c>
      <c r="G61" s="204">
        <f>-'[85]расчет '!I45</f>
        <v>-514.42739844299501</v>
      </c>
      <c r="H61" s="204">
        <f>-'[85]расчет '!J45</f>
        <v>-537.06220397448681</v>
      </c>
      <c r="I61" s="204">
        <f>-'[85]расчет '!K45</f>
        <v>-560.15587874538971</v>
      </c>
      <c r="J61" s="204">
        <f>-'[85]расчет '!L45</f>
        <v>-583.68242565269611</v>
      </c>
      <c r="K61" s="204">
        <f>-'[85]расчет '!M45</f>
        <v>-607.61340510445666</v>
      </c>
      <c r="L61" s="204">
        <f>-'[85]расчет '!N45</f>
        <v>-631.91794130863491</v>
      </c>
      <c r="M61" s="204">
        <f>-'[85]расчет '!O45</f>
        <v>-657.19465896098029</v>
      </c>
      <c r="N61" s="204">
        <f>-'[85]расчет '!P45</f>
        <v>-683.48244531941953</v>
      </c>
      <c r="O61" s="204">
        <f>-'[85]расчет '!Q45</f>
        <v>-710.82174313219627</v>
      </c>
      <c r="P61" s="204">
        <f>-'[85]расчет '!R45</f>
        <v>-739.25461285748418</v>
      </c>
      <c r="Q61" s="204">
        <f>-'[85]расчет '!S45</f>
        <v>-768.82479737178357</v>
      </c>
      <c r="R61" s="204">
        <f>-'[85]расчет '!T45</f>
        <v>-799.57778926665492</v>
      </c>
      <c r="S61" s="204">
        <f>-'[85]расчет '!U45</f>
        <v>-831.56090083732113</v>
      </c>
      <c r="T61" s="204">
        <f>-'[85]расчет '!V45</f>
        <v>-864.82333687081405</v>
      </c>
      <c r="U61" s="204">
        <f>-'[85]расчет '!W45</f>
        <v>-899.41627034564669</v>
      </c>
      <c r="V61" s="204">
        <f>-'[85]расчет '!X45</f>
        <v>-935.39292115947262</v>
      </c>
      <c r="W61" s="204">
        <f>-'[85]расчет '!Y45</f>
        <v>-972.80863800585155</v>
      </c>
      <c r="X61" s="314"/>
      <c r="Y61" s="314"/>
      <c r="Z61" s="314"/>
    </row>
    <row r="62" spans="1:26" s="311" customFormat="1" ht="16.5" hidden="1" customHeight="1" x14ac:dyDescent="0.2">
      <c r="A62" s="309" t="s">
        <v>553</v>
      </c>
      <c r="B62" s="204">
        <f>-'[85]расчет '!D20</f>
        <v>0</v>
      </c>
      <c r="C62" s="204">
        <f>-'[85]расчет '!E34</f>
        <v>0</v>
      </c>
      <c r="D62" s="204">
        <f>-'[85]расчет '!F34</f>
        <v>0</v>
      </c>
      <c r="E62" s="204">
        <f>-'[85]расчет '!G34</f>
        <v>0</v>
      </c>
      <c r="F62" s="204">
        <f>-'[85]расчет '!H34</f>
        <v>0</v>
      </c>
      <c r="G62" s="204">
        <f>-'[85]расчет '!I34</f>
        <v>0</v>
      </c>
      <c r="H62" s="204">
        <f>-'[85]расчет '!J34</f>
        <v>0</v>
      </c>
      <c r="I62" s="204">
        <f>-'[85]расчет '!K34</f>
        <v>0</v>
      </c>
      <c r="J62" s="204">
        <f>-'[85]расчет '!L34</f>
        <v>0</v>
      </c>
      <c r="K62" s="204">
        <f>-'[85]расчет '!M34</f>
        <v>0</v>
      </c>
      <c r="L62" s="204">
        <f>-'[85]расчет '!N34</f>
        <v>0</v>
      </c>
      <c r="M62" s="204">
        <f>-'[85]расчет '!O34</f>
        <v>0</v>
      </c>
      <c r="N62" s="204">
        <f>-'[85]расчет '!P34</f>
        <v>0</v>
      </c>
      <c r="O62" s="204">
        <f>-'[85]расчет '!Q34</f>
        <v>0</v>
      </c>
      <c r="P62" s="204">
        <f>-'[85]расчет '!R34</f>
        <v>0</v>
      </c>
      <c r="Q62" s="204">
        <f>-'[85]расчет '!S34</f>
        <v>0</v>
      </c>
      <c r="R62" s="204">
        <f>-'[85]расчет '!T34</f>
        <v>0</v>
      </c>
      <c r="S62" s="204">
        <f>-'[85]расчет '!U34</f>
        <v>0</v>
      </c>
      <c r="T62" s="204">
        <f>-'[85]расчет '!V34</f>
        <v>0</v>
      </c>
      <c r="U62" s="204">
        <f>-'[85]расчет '!W34</f>
        <v>0</v>
      </c>
      <c r="V62" s="204">
        <f>-'[85]расчет '!X34</f>
        <v>0</v>
      </c>
      <c r="W62" s="204">
        <f>-'[85]расчет '!Y34</f>
        <v>0</v>
      </c>
      <c r="X62" s="204"/>
      <c r="Y62" s="204"/>
      <c r="Z62" s="204"/>
    </row>
    <row r="63" spans="1:26" s="311" customFormat="1" ht="18" customHeight="1" x14ac:dyDescent="0.2">
      <c r="A63" s="309" t="s">
        <v>554</v>
      </c>
      <c r="B63" s="204">
        <f>-'[85]расчет '!D16</f>
        <v>0</v>
      </c>
      <c r="C63" s="204">
        <f>-'[85]расчет '!E30</f>
        <v>-568.91319677966101</v>
      </c>
      <c r="D63" s="204">
        <f>-'[85]расчет '!F30</f>
        <v>-529.67780389830511</v>
      </c>
      <c r="E63" s="204">
        <f>-'[85]расчет '!G30</f>
        <v>-490.44241101694922</v>
      </c>
      <c r="F63" s="204">
        <f>-'[85]расчет '!H30</f>
        <v>-451.20701813559333</v>
      </c>
      <c r="G63" s="204">
        <f>-'[85]расчет '!I30</f>
        <v>-411.97162525423744</v>
      </c>
      <c r="H63" s="204">
        <f>-'[85]расчет '!J30</f>
        <v>-372.73623237288155</v>
      </c>
      <c r="I63" s="204">
        <f>-'[85]расчет '!K30</f>
        <v>-333.50083949152554</v>
      </c>
      <c r="J63" s="204">
        <f>-'[85]расчет '!L30</f>
        <v>-294.26544661016965</v>
      </c>
      <c r="K63" s="204">
        <f>-'[85]расчет '!M30</f>
        <v>-255.03005372881367</v>
      </c>
      <c r="L63" s="204">
        <f>-'[85]расчет '!N30</f>
        <v>-215.79466084745778</v>
      </c>
      <c r="M63" s="204">
        <f>-'[85]расчет '!O30</f>
        <v>-176.55926796610183</v>
      </c>
      <c r="N63" s="204">
        <f>-'[85]расчет '!P30</f>
        <v>-137.32387508474588</v>
      </c>
      <c r="O63" s="204">
        <f>-'[85]расчет '!Q30</f>
        <v>-98.08848220338993</v>
      </c>
      <c r="P63" s="204">
        <f>-'[85]расчет '!R30</f>
        <v>-58.853089322034009</v>
      </c>
      <c r="Q63" s="204">
        <f>-'[85]расчет '!S30</f>
        <v>-19.617696440678021</v>
      </c>
      <c r="R63" s="204">
        <f>-'[85]расчет '!T30</f>
        <v>0</v>
      </c>
      <c r="S63" s="204">
        <f>-'[85]расчет '!U30</f>
        <v>0</v>
      </c>
      <c r="T63" s="204">
        <f>-'[85]расчет '!V30</f>
        <v>0</v>
      </c>
      <c r="U63" s="204">
        <f>-'[85]расчет '!W30</f>
        <v>0</v>
      </c>
      <c r="V63" s="204">
        <f>-'[85]расчет '!X30</f>
        <v>0</v>
      </c>
      <c r="W63" s="204">
        <f>-'[85]расчет '!Y30</f>
        <v>0</v>
      </c>
      <c r="X63" s="204">
        <v>0</v>
      </c>
      <c r="Y63" s="204">
        <f>-IF(Y$47&lt;=$B$30,0,$B$35*(1+Y$49)*$B$28)</f>
        <v>0</v>
      </c>
      <c r="Z63" s="204">
        <v>0</v>
      </c>
    </row>
    <row r="64" spans="1:26" s="311" customFormat="1" ht="18" hidden="1" customHeight="1" x14ac:dyDescent="0.2">
      <c r="A64" s="309" t="s">
        <v>555</v>
      </c>
      <c r="B64" s="204">
        <f>-'[85]расчет '!D17</f>
        <v>0</v>
      </c>
      <c r="C64" s="204">
        <f>-'[85]расчет '!E17</f>
        <v>0</v>
      </c>
      <c r="D64" s="204">
        <f>-'[85]расчет '!F17</f>
        <v>-4.3999999999999997E-2</v>
      </c>
      <c r="E64" s="204">
        <f>-'[85]расчет '!G17</f>
        <v>-4.2000000000000003E-2</v>
      </c>
      <c r="F64" s="204">
        <f>-'[85]расчет '!H17</f>
        <v>-4.2999999999999997E-2</v>
      </c>
      <c r="G64" s="204">
        <f>-'[85]расчет '!I17</f>
        <v>-4.3999999999999997E-2</v>
      </c>
      <c r="H64" s="204">
        <f>-'[85]расчет '!J17</f>
        <v>-4.3999999999999997E-2</v>
      </c>
      <c r="I64" s="204">
        <f>-'[85]расчет '!K17</f>
        <v>-4.2999999999999997E-2</v>
      </c>
      <c r="J64" s="204">
        <f>-'[85]расчет '!L17</f>
        <v>-4.2000000000000003E-2</v>
      </c>
      <c r="K64" s="204">
        <f>-'[85]расчет '!M17</f>
        <v>-4.1000000000000002E-2</v>
      </c>
      <c r="L64" s="204">
        <f>-'[85]расчет '!N17</f>
        <v>-0.04</v>
      </c>
      <c r="M64" s="204">
        <f>-'[85]расчет '!O17</f>
        <v>-0.04</v>
      </c>
      <c r="N64" s="204">
        <f>-'[85]расчет '!P17</f>
        <v>-0.04</v>
      </c>
      <c r="O64" s="204">
        <f>-'[85]расчет '!Q17</f>
        <v>-0.04</v>
      </c>
      <c r="P64" s="204">
        <f>-'[85]расчет '!R17</f>
        <v>-0.04</v>
      </c>
      <c r="Q64" s="204">
        <f>-'[85]расчет '!S17</f>
        <v>-0.04</v>
      </c>
      <c r="R64" s="204">
        <f>-'[85]расчет '!T17</f>
        <v>-0.04</v>
      </c>
      <c r="S64" s="204">
        <f>-'[85]расчет '!U17</f>
        <v>-0.04</v>
      </c>
      <c r="T64" s="204">
        <f>-'[85]расчет '!V17</f>
        <v>-0.04</v>
      </c>
      <c r="U64" s="204">
        <f>-'[85]расчет '!W17</f>
        <v>-0.04</v>
      </c>
      <c r="V64" s="204">
        <f>-'[85]расчет '!X17</f>
        <v>-0.04</v>
      </c>
      <c r="W64" s="204">
        <f>-'[85]расчет '!Y17</f>
        <v>-0.04</v>
      </c>
      <c r="X64" s="204"/>
      <c r="Y64" s="204"/>
      <c r="Z64" s="204"/>
    </row>
    <row r="65" spans="1:26" s="311" customFormat="1" hidden="1" x14ac:dyDescent="0.2">
      <c r="A65" s="321" t="s">
        <v>556</v>
      </c>
      <c r="B65" s="204">
        <v>0</v>
      </c>
      <c r="C65" s="204">
        <f>-'[85]расчет '!E28</f>
        <v>0</v>
      </c>
      <c r="D65" s="204">
        <f>-'[85]расчет '!F28</f>
        <v>0</v>
      </c>
      <c r="E65" s="204">
        <f>-'[85]расчет '!G28</f>
        <v>0</v>
      </c>
      <c r="F65" s="204">
        <f>-'[85]расчет '!H28</f>
        <v>0</v>
      </c>
      <c r="G65" s="204">
        <f>-'[85]расчет '!I28</f>
        <v>0</v>
      </c>
      <c r="H65" s="204">
        <f>-'[85]расчет '!J28</f>
        <v>0</v>
      </c>
      <c r="I65" s="204">
        <f>-'[85]расчет '!K28</f>
        <v>0</v>
      </c>
      <c r="J65" s="204">
        <f>-'[85]расчет '!L28</f>
        <v>0</v>
      </c>
      <c r="K65" s="204">
        <f>-'[85]расчет '!M28</f>
        <v>0</v>
      </c>
      <c r="L65" s="204">
        <f>-'[85]расчет '!N28</f>
        <v>0</v>
      </c>
      <c r="M65" s="204">
        <f>-'[85]расчет '!O28</f>
        <v>0</v>
      </c>
      <c r="N65" s="204">
        <f>-'[85]расчет '!P28</f>
        <v>0</v>
      </c>
      <c r="O65" s="204">
        <f>-'[85]расчет '!Q28</f>
        <v>0</v>
      </c>
      <c r="P65" s="204">
        <f>-'[85]расчет '!R28</f>
        <v>0</v>
      </c>
      <c r="Q65" s="204">
        <f>-'[85]расчет '!S28</f>
        <v>0</v>
      </c>
      <c r="R65" s="204">
        <f>-'[85]расчет '!T28</f>
        <v>0</v>
      </c>
      <c r="S65" s="204">
        <f>-'[85]расчет '!U28</f>
        <v>0</v>
      </c>
      <c r="T65" s="204">
        <f>-'[85]расчет '!V28</f>
        <v>0</v>
      </c>
      <c r="U65" s="204">
        <f>-'[85]расчет '!W28</f>
        <v>0</v>
      </c>
      <c r="V65" s="204">
        <f>-'[85]расчет '!X28</f>
        <v>0</v>
      </c>
      <c r="W65" s="204">
        <f>-'[85]расчет '!Y28</f>
        <v>0</v>
      </c>
      <c r="X65" s="204"/>
      <c r="Y65" s="204"/>
      <c r="Z65" s="204"/>
    </row>
    <row r="66" spans="1:26" s="311" customFormat="1" hidden="1" x14ac:dyDescent="0.2">
      <c r="A66" s="321" t="str">
        <f>'[86]расчет Балко'!C31</f>
        <v>Отчисления на соцнужды</v>
      </c>
      <c r="B66" s="204">
        <v>0</v>
      </c>
      <c r="C66" s="204">
        <f>-'[85]расчет '!E31</f>
        <v>0</v>
      </c>
      <c r="D66" s="204">
        <f>-'[85]расчет '!F31</f>
        <v>0</v>
      </c>
      <c r="E66" s="204">
        <f>-'[85]расчет '!G31</f>
        <v>0</v>
      </c>
      <c r="F66" s="204">
        <f>-'[85]расчет '!H31</f>
        <v>0</v>
      </c>
      <c r="G66" s="204">
        <f>-'[85]расчет '!I31</f>
        <v>0</v>
      </c>
      <c r="H66" s="204">
        <f>-'[85]расчет '!J31</f>
        <v>0</v>
      </c>
      <c r="I66" s="204">
        <f>-'[85]расчет '!K31</f>
        <v>0</v>
      </c>
      <c r="J66" s="204">
        <f>-'[85]расчет '!L31</f>
        <v>0</v>
      </c>
      <c r="K66" s="204">
        <f>-'[85]расчет '!M31</f>
        <v>0</v>
      </c>
      <c r="L66" s="204">
        <f>-'[85]расчет '!N31</f>
        <v>0</v>
      </c>
      <c r="M66" s="204">
        <f>-'[85]расчет '!O31</f>
        <v>0</v>
      </c>
      <c r="N66" s="204">
        <f>-'[85]расчет '!P31</f>
        <v>0</v>
      </c>
      <c r="O66" s="204">
        <f>-'[85]расчет '!Q31</f>
        <v>0</v>
      </c>
      <c r="P66" s="204">
        <f>-'[85]расчет '!R31</f>
        <v>0</v>
      </c>
      <c r="Q66" s="204">
        <f>-'[85]расчет '!S31</f>
        <v>0</v>
      </c>
      <c r="R66" s="204">
        <f>-'[85]расчет '!T31</f>
        <v>0</v>
      </c>
      <c r="S66" s="204">
        <f>-'[85]расчет '!U31</f>
        <v>0</v>
      </c>
      <c r="T66" s="204">
        <f>-'[85]расчет '!V31</f>
        <v>0</v>
      </c>
      <c r="U66" s="204">
        <f>-'[85]расчет '!W31</f>
        <v>0</v>
      </c>
      <c r="V66" s="204">
        <f>-'[85]расчет '!X31</f>
        <v>0</v>
      </c>
      <c r="W66" s="204">
        <f>-'[85]расчет '!Y31</f>
        <v>0</v>
      </c>
      <c r="X66" s="204"/>
      <c r="Y66" s="204"/>
      <c r="Z66" s="204"/>
    </row>
    <row r="67" spans="1:26" s="311" customFormat="1" ht="18" hidden="1" customHeight="1" x14ac:dyDescent="0.2">
      <c r="A67" s="321" t="s">
        <v>557</v>
      </c>
      <c r="B67" s="204">
        <f>'[85]расчет '!D18*0</f>
        <v>0</v>
      </c>
      <c r="C67" s="204">
        <f>-'[85]расчет '!E32</f>
        <v>0</v>
      </c>
      <c r="D67" s="204">
        <f>-'[85]расчет '!F32</f>
        <v>0</v>
      </c>
      <c r="E67" s="204">
        <f>-'[85]расчет '!G32</f>
        <v>0</v>
      </c>
      <c r="F67" s="204">
        <f>-'[85]расчет '!H32</f>
        <v>0</v>
      </c>
      <c r="G67" s="204">
        <f>-'[85]расчет '!I32</f>
        <v>0</v>
      </c>
      <c r="H67" s="204">
        <f>-'[85]расчет '!J32</f>
        <v>0</v>
      </c>
      <c r="I67" s="204">
        <f>-'[85]расчет '!K32</f>
        <v>0</v>
      </c>
      <c r="J67" s="204">
        <f>-'[85]расчет '!L32</f>
        <v>0</v>
      </c>
      <c r="K67" s="204">
        <f>-'[85]расчет '!M32</f>
        <v>0</v>
      </c>
      <c r="L67" s="204">
        <f>-'[85]расчет '!N32</f>
        <v>0</v>
      </c>
      <c r="M67" s="204">
        <f>-'[85]расчет '!O32</f>
        <v>0</v>
      </c>
      <c r="N67" s="204">
        <f>-'[85]расчет '!P32</f>
        <v>0</v>
      </c>
      <c r="O67" s="204">
        <f>-'[85]расчет '!Q32</f>
        <v>0</v>
      </c>
      <c r="P67" s="204">
        <f>-'[85]расчет '!R32</f>
        <v>0</v>
      </c>
      <c r="Q67" s="204">
        <f>-'[85]расчет '!S32</f>
        <v>0</v>
      </c>
      <c r="R67" s="204">
        <f>-'[85]расчет '!T32</f>
        <v>0</v>
      </c>
      <c r="S67" s="204">
        <f>-'[85]расчет '!U32</f>
        <v>0</v>
      </c>
      <c r="T67" s="204">
        <f>-'[85]расчет '!V32</f>
        <v>0</v>
      </c>
      <c r="U67" s="204">
        <f>-'[85]расчет '!W32</f>
        <v>0</v>
      </c>
      <c r="V67" s="204">
        <f>-'[85]расчет '!X32</f>
        <v>0</v>
      </c>
      <c r="W67" s="204">
        <f>-'[85]расчет '!Y32</f>
        <v>0</v>
      </c>
      <c r="X67" s="204"/>
      <c r="Y67" s="204"/>
      <c r="Z67" s="204"/>
    </row>
    <row r="68" spans="1:26" s="311" customFormat="1" ht="14.25" x14ac:dyDescent="0.2">
      <c r="A68" s="322" t="s">
        <v>558</v>
      </c>
      <c r="B68" s="207">
        <f t="shared" ref="B68:Z68" si="11">B59+B60</f>
        <v>0</v>
      </c>
      <c r="C68" s="207">
        <f>C59+C60</f>
        <v>3257.7646065656718</v>
      </c>
      <c r="D68" s="207">
        <f t="shared" si="11"/>
        <v>3322.5914634918499</v>
      </c>
      <c r="E68" s="207">
        <f t="shared" si="11"/>
        <v>4861.5778785072307</v>
      </c>
      <c r="F68" s="207">
        <f t="shared" si="11"/>
        <v>3456.2049977875881</v>
      </c>
      <c r="G68" s="207">
        <f t="shared" si="11"/>
        <v>3529.8081239275302</v>
      </c>
      <c r="H68" s="207">
        <f t="shared" si="11"/>
        <v>3606.6508316176291</v>
      </c>
      <c r="I68" s="207">
        <f t="shared" si="11"/>
        <v>3685.0523505636293</v>
      </c>
      <c r="J68" s="207">
        <f t="shared" si="11"/>
        <v>3764.9234234228943</v>
      </c>
      <c r="K68" s="207">
        <f t="shared" si="11"/>
        <v>3846.1675008679786</v>
      </c>
      <c r="L68" s="207">
        <f t="shared" si="11"/>
        <v>3928.6797629365965</v>
      </c>
      <c r="M68" s="207">
        <f t="shared" si="11"/>
        <v>4014.4914754879583</v>
      </c>
      <c r="N68" s="207">
        <f t="shared" si="11"/>
        <v>4103.7356565413747</v>
      </c>
      <c r="O68" s="207">
        <f t="shared" si="11"/>
        <v>4196.5496048369278</v>
      </c>
      <c r="P68" s="207">
        <f t="shared" si="11"/>
        <v>4293.0761110643034</v>
      </c>
      <c r="Q68" s="207">
        <f t="shared" si="11"/>
        <v>4393.4636775407744</v>
      </c>
      <c r="R68" s="207">
        <f t="shared" si="11"/>
        <v>2714.4397975237616</v>
      </c>
      <c r="S68" s="207">
        <f t="shared" si="11"/>
        <v>2823.0189894247119</v>
      </c>
      <c r="T68" s="207">
        <f t="shared" si="11"/>
        <v>2935.9413490017005</v>
      </c>
      <c r="U68" s="207">
        <f t="shared" si="11"/>
        <v>3053.3806029617685</v>
      </c>
      <c r="V68" s="207">
        <f t="shared" si="11"/>
        <v>3175.5174270802395</v>
      </c>
      <c r="W68" s="207">
        <f t="shared" si="11"/>
        <v>3302.5397241634496</v>
      </c>
      <c r="X68" s="207">
        <f t="shared" si="11"/>
        <v>0</v>
      </c>
      <c r="Y68" s="207">
        <f t="shared" si="11"/>
        <v>0</v>
      </c>
      <c r="Z68" s="207">
        <f t="shared" si="11"/>
        <v>0</v>
      </c>
    </row>
    <row r="69" spans="1:26" s="311" customFormat="1" x14ac:dyDescent="0.2">
      <c r="A69" s="321" t="s">
        <v>294</v>
      </c>
      <c r="B69" s="204">
        <v>0</v>
      </c>
      <c r="C69" s="204">
        <f>-'[85]расчет '!E29</f>
        <v>-1783.4269491525424</v>
      </c>
      <c r="D69" s="204">
        <f>-'[85]расчет '!F29</f>
        <v>-1783.4269491525424</v>
      </c>
      <c r="E69" s="204">
        <f>-'[85]расчет '!G29</f>
        <v>-1783.4269491525424</v>
      </c>
      <c r="F69" s="204">
        <f>-'[85]расчет '!H29</f>
        <v>-1783.4269491525424</v>
      </c>
      <c r="G69" s="204">
        <f>-'[85]расчет '!I29</f>
        <v>-1783.4269491525424</v>
      </c>
      <c r="H69" s="204">
        <f>-'[85]расчет '!J29</f>
        <v>-1783.4269491525424</v>
      </c>
      <c r="I69" s="204">
        <f>-'[85]расчет '!K29</f>
        <v>-1783.4269491525424</v>
      </c>
      <c r="J69" s="204">
        <f>-'[85]расчет '!L29</f>
        <v>-1783.4269491525424</v>
      </c>
      <c r="K69" s="204">
        <f>-'[85]расчет '!M29</f>
        <v>-1783.4269491525424</v>
      </c>
      <c r="L69" s="204">
        <f>-'[85]расчет '!N29</f>
        <v>-1783.4269491525424</v>
      </c>
      <c r="M69" s="204">
        <f>-'[85]расчет '!O29</f>
        <v>-1783.4269491525424</v>
      </c>
      <c r="N69" s="204">
        <f>-'[85]расчет '!P29</f>
        <v>-1783.4269491525424</v>
      </c>
      <c r="O69" s="204">
        <f>-'[85]расчет '!Q29</f>
        <v>-1783.4269491525424</v>
      </c>
      <c r="P69" s="204">
        <f>-'[85]расчет '!R29</f>
        <v>-1783.4269491525424</v>
      </c>
      <c r="Q69" s="204">
        <f>-'[85]расчет '!S29</f>
        <v>-1783.4269491525424</v>
      </c>
      <c r="R69" s="204">
        <f>-'[85]расчет '!T29</f>
        <v>0</v>
      </c>
      <c r="S69" s="204">
        <f>-'[85]расчет '!U29</f>
        <v>0</v>
      </c>
      <c r="T69" s="204">
        <f>-'[85]расчет '!V29</f>
        <v>0</v>
      </c>
      <c r="U69" s="204">
        <f>-'[85]расчет '!W29</f>
        <v>0</v>
      </c>
      <c r="V69" s="204">
        <f>-'[85]расчет '!X29</f>
        <v>0</v>
      </c>
      <c r="W69" s="204">
        <f>-'[85]расчет '!Y29</f>
        <v>0</v>
      </c>
      <c r="X69" s="204">
        <v>0</v>
      </c>
      <c r="Y69" s="204"/>
      <c r="Z69" s="204"/>
    </row>
    <row r="70" spans="1:26" s="311" customFormat="1" ht="14.25" x14ac:dyDescent="0.2">
      <c r="A70" s="322" t="s">
        <v>559</v>
      </c>
      <c r="B70" s="207">
        <f>B68+B69</f>
        <v>0</v>
      </c>
      <c r="C70" s="207">
        <f>C68+C69</f>
        <v>1474.3376574131294</v>
      </c>
      <c r="D70" s="207">
        <f>D68+D69</f>
        <v>1539.1645143393075</v>
      </c>
      <c r="E70" s="207">
        <f t="shared" ref="E70:Z70" si="12">E68+E69</f>
        <v>3078.1509293546883</v>
      </c>
      <c r="F70" s="207">
        <f t="shared" si="12"/>
        <v>1672.7780486350457</v>
      </c>
      <c r="G70" s="207">
        <f t="shared" si="12"/>
        <v>1746.3811747749878</v>
      </c>
      <c r="H70" s="207">
        <f t="shared" si="12"/>
        <v>1823.2238824650867</v>
      </c>
      <c r="I70" s="207">
        <f t="shared" si="12"/>
        <v>1901.6254014110868</v>
      </c>
      <c r="J70" s="207">
        <f t="shared" si="12"/>
        <v>1981.4964742703519</v>
      </c>
      <c r="K70" s="207">
        <f t="shared" si="12"/>
        <v>2062.7405517154361</v>
      </c>
      <c r="L70" s="207">
        <f t="shared" si="12"/>
        <v>2145.2528137840541</v>
      </c>
      <c r="M70" s="207">
        <f t="shared" si="12"/>
        <v>2231.0645263354158</v>
      </c>
      <c r="N70" s="207">
        <f t="shared" si="12"/>
        <v>2320.3087073888323</v>
      </c>
      <c r="O70" s="207">
        <f t="shared" si="12"/>
        <v>2413.1226556843853</v>
      </c>
      <c r="P70" s="207">
        <f t="shared" si="12"/>
        <v>2509.649161911761</v>
      </c>
      <c r="Q70" s="207">
        <f>Q68+Q69</f>
        <v>2610.0367283882319</v>
      </c>
      <c r="R70" s="207">
        <f t="shared" si="12"/>
        <v>2714.4397975237616</v>
      </c>
      <c r="S70" s="207">
        <f t="shared" si="12"/>
        <v>2823.0189894247119</v>
      </c>
      <c r="T70" s="207">
        <f t="shared" si="12"/>
        <v>2935.9413490017005</v>
      </c>
      <c r="U70" s="207">
        <f>U68+U69</f>
        <v>3053.3806029617685</v>
      </c>
      <c r="V70" s="207">
        <f>V68+V69</f>
        <v>3175.5174270802395</v>
      </c>
      <c r="W70" s="207">
        <f>W68+W69</f>
        <v>3302.5397241634496</v>
      </c>
      <c r="X70" s="207">
        <f t="shared" si="12"/>
        <v>0</v>
      </c>
      <c r="Y70" s="207">
        <f t="shared" si="12"/>
        <v>0</v>
      </c>
      <c r="Z70" s="207">
        <f t="shared" si="12"/>
        <v>0</v>
      </c>
    </row>
    <row r="71" spans="1:26" s="311" customFormat="1" x14ac:dyDescent="0.2">
      <c r="A71" s="321" t="s">
        <v>293</v>
      </c>
      <c r="B71" s="204">
        <f t="shared" ref="B71:Z71" si="13">-B56</f>
        <v>0</v>
      </c>
      <c r="C71" s="204">
        <f t="shared" si="13"/>
        <v>0</v>
      </c>
      <c r="D71" s="204">
        <f>-D56</f>
        <v>0</v>
      </c>
      <c r="E71" s="204">
        <f t="shared" si="13"/>
        <v>0</v>
      </c>
      <c r="F71" s="204">
        <f t="shared" si="13"/>
        <v>0</v>
      </c>
      <c r="G71" s="204">
        <f t="shared" si="13"/>
        <v>0</v>
      </c>
      <c r="H71" s="204">
        <f t="shared" si="13"/>
        <v>0</v>
      </c>
      <c r="I71" s="204">
        <f t="shared" si="13"/>
        <v>0</v>
      </c>
      <c r="J71" s="204">
        <f t="shared" si="13"/>
        <v>0</v>
      </c>
      <c r="K71" s="204">
        <f t="shared" si="13"/>
        <v>0</v>
      </c>
      <c r="L71" s="204">
        <f t="shared" si="13"/>
        <v>0</v>
      </c>
      <c r="M71" s="204">
        <f t="shared" si="13"/>
        <v>0</v>
      </c>
      <c r="N71" s="204">
        <f t="shared" si="13"/>
        <v>0</v>
      </c>
      <c r="O71" s="204">
        <f t="shared" si="13"/>
        <v>0</v>
      </c>
      <c r="P71" s="204">
        <f t="shared" si="13"/>
        <v>0</v>
      </c>
      <c r="Q71" s="204">
        <f t="shared" si="13"/>
        <v>0</v>
      </c>
      <c r="R71" s="204">
        <f t="shared" si="13"/>
        <v>0</v>
      </c>
      <c r="S71" s="204">
        <f t="shared" si="13"/>
        <v>0</v>
      </c>
      <c r="T71" s="204">
        <f t="shared" si="13"/>
        <v>0</v>
      </c>
      <c r="U71" s="204">
        <f t="shared" si="13"/>
        <v>0</v>
      </c>
      <c r="V71" s="204">
        <f t="shared" si="13"/>
        <v>0</v>
      </c>
      <c r="W71" s="204">
        <f t="shared" si="13"/>
        <v>0</v>
      </c>
      <c r="X71" s="204">
        <f t="shared" si="13"/>
        <v>0</v>
      </c>
      <c r="Y71" s="204">
        <f t="shared" si="13"/>
        <v>0</v>
      </c>
      <c r="Z71" s="204">
        <f t="shared" si="13"/>
        <v>0</v>
      </c>
    </row>
    <row r="72" spans="1:26" s="311" customFormat="1" ht="14.25" x14ac:dyDescent="0.2">
      <c r="A72" s="322" t="s">
        <v>297</v>
      </c>
      <c r="B72" s="207">
        <f t="shared" ref="B72:Z72" si="14">B70+B71</f>
        <v>0</v>
      </c>
      <c r="C72" s="207">
        <f>C70+C71</f>
        <v>1474.3376574131294</v>
      </c>
      <c r="D72" s="207">
        <f t="shared" si="14"/>
        <v>1539.1645143393075</v>
      </c>
      <c r="E72" s="207">
        <f t="shared" si="14"/>
        <v>3078.1509293546883</v>
      </c>
      <c r="F72" s="207">
        <f t="shared" si="14"/>
        <v>1672.7780486350457</v>
      </c>
      <c r="G72" s="207">
        <f t="shared" si="14"/>
        <v>1746.3811747749878</v>
      </c>
      <c r="H72" s="207">
        <f t="shared" si="14"/>
        <v>1823.2238824650867</v>
      </c>
      <c r="I72" s="207">
        <f t="shared" si="14"/>
        <v>1901.6254014110868</v>
      </c>
      <c r="J72" s="207">
        <f t="shared" si="14"/>
        <v>1981.4964742703519</v>
      </c>
      <c r="K72" s="207">
        <f t="shared" si="14"/>
        <v>2062.7405517154361</v>
      </c>
      <c r="L72" s="207">
        <f t="shared" si="14"/>
        <v>2145.2528137840541</v>
      </c>
      <c r="M72" s="207">
        <f t="shared" si="14"/>
        <v>2231.0645263354158</v>
      </c>
      <c r="N72" s="207">
        <f t="shared" si="14"/>
        <v>2320.3087073888323</v>
      </c>
      <c r="O72" s="207">
        <f t="shared" si="14"/>
        <v>2413.1226556843853</v>
      </c>
      <c r="P72" s="207">
        <f t="shared" si="14"/>
        <v>2509.649161911761</v>
      </c>
      <c r="Q72" s="207">
        <f t="shared" si="14"/>
        <v>2610.0367283882319</v>
      </c>
      <c r="R72" s="207">
        <f t="shared" si="14"/>
        <v>2714.4397975237616</v>
      </c>
      <c r="S72" s="207">
        <f t="shared" si="14"/>
        <v>2823.0189894247119</v>
      </c>
      <c r="T72" s="207">
        <f t="shared" si="14"/>
        <v>2935.9413490017005</v>
      </c>
      <c r="U72" s="207">
        <f>U70+U71</f>
        <v>3053.3806029617685</v>
      </c>
      <c r="V72" s="207">
        <f>V70+V71</f>
        <v>3175.5174270802395</v>
      </c>
      <c r="W72" s="207">
        <f>W70+W71</f>
        <v>3302.5397241634496</v>
      </c>
      <c r="X72" s="207">
        <f t="shared" si="14"/>
        <v>0</v>
      </c>
      <c r="Y72" s="207">
        <f t="shared" si="14"/>
        <v>0</v>
      </c>
      <c r="Z72" s="207">
        <f t="shared" si="14"/>
        <v>0</v>
      </c>
    </row>
    <row r="73" spans="1:26" s="311" customFormat="1" x14ac:dyDescent="0.2">
      <c r="A73" s="321" t="s">
        <v>292</v>
      </c>
      <c r="B73" s="204">
        <f>-B72*$B$36</f>
        <v>0</v>
      </c>
      <c r="C73" s="204">
        <f>-C72*$B$36</f>
        <v>-294.86753148262591</v>
      </c>
      <c r="D73" s="204">
        <f>-D72*$B$36</f>
        <v>-307.83290286786155</v>
      </c>
      <c r="E73" s="204">
        <f t="shared" ref="E73:Z73" si="15">-E72*$B$36</f>
        <v>-615.63018587093768</v>
      </c>
      <c r="F73" s="204">
        <f t="shared" si="15"/>
        <v>-334.55560972700914</v>
      </c>
      <c r="G73" s="204">
        <f t="shared" si="15"/>
        <v>-349.27623495499756</v>
      </c>
      <c r="H73" s="204">
        <f t="shared" si="15"/>
        <v>-364.64477649301739</v>
      </c>
      <c r="I73" s="204">
        <f t="shared" si="15"/>
        <v>-380.32508028221741</v>
      </c>
      <c r="J73" s="204">
        <f t="shared" si="15"/>
        <v>-396.29929485407041</v>
      </c>
      <c r="K73" s="204">
        <f t="shared" si="15"/>
        <v>-412.54811034308727</v>
      </c>
      <c r="L73" s="204">
        <f t="shared" si="15"/>
        <v>-429.05056275681085</v>
      </c>
      <c r="M73" s="204">
        <f t="shared" si="15"/>
        <v>-446.21290526708322</v>
      </c>
      <c r="N73" s="204">
        <f t="shared" si="15"/>
        <v>-464.06174147776647</v>
      </c>
      <c r="O73" s="204">
        <f t="shared" si="15"/>
        <v>-482.62453113687707</v>
      </c>
      <c r="P73" s="204">
        <f t="shared" si="15"/>
        <v>-501.92983238235223</v>
      </c>
      <c r="Q73" s="204">
        <f>-Q72*$B$36</f>
        <v>-522.00734567764641</v>
      </c>
      <c r="R73" s="204">
        <f t="shared" si="15"/>
        <v>-542.8879595047523</v>
      </c>
      <c r="S73" s="204">
        <f t="shared" si="15"/>
        <v>-564.60379788494242</v>
      </c>
      <c r="T73" s="204">
        <f t="shared" si="15"/>
        <v>-587.18826980034009</v>
      </c>
      <c r="U73" s="204">
        <f>-U72*$B$36</f>
        <v>-610.67612059235375</v>
      </c>
      <c r="V73" s="204">
        <f>-V72*$B$36</f>
        <v>-635.10348541604799</v>
      </c>
      <c r="W73" s="204">
        <f>-W72*$B$36</f>
        <v>-660.50794483268999</v>
      </c>
      <c r="X73" s="204">
        <f t="shared" si="15"/>
        <v>0</v>
      </c>
      <c r="Y73" s="204">
        <f t="shared" si="15"/>
        <v>0</v>
      </c>
      <c r="Z73" s="204">
        <f t="shared" si="15"/>
        <v>0</v>
      </c>
    </row>
    <row r="74" spans="1:26" s="311" customFormat="1" ht="15" thickBot="1" x14ac:dyDescent="0.25">
      <c r="A74" s="323" t="s">
        <v>296</v>
      </c>
      <c r="B74" s="209">
        <f>B72+B73</f>
        <v>0</v>
      </c>
      <c r="C74" s="209">
        <f>C72+C73</f>
        <v>1179.4701259305034</v>
      </c>
      <c r="D74" s="209">
        <f t="shared" ref="D74:Z74" si="16">D72+D73</f>
        <v>1231.331611471446</v>
      </c>
      <c r="E74" s="209">
        <f t="shared" si="16"/>
        <v>2462.5207434837507</v>
      </c>
      <c r="F74" s="209">
        <f t="shared" si="16"/>
        <v>1338.2224389080366</v>
      </c>
      <c r="G74" s="209">
        <f t="shared" si="16"/>
        <v>1397.1049398199902</v>
      </c>
      <c r="H74" s="209">
        <f t="shared" si="16"/>
        <v>1458.5791059720693</v>
      </c>
      <c r="I74" s="209">
        <f t="shared" si="16"/>
        <v>1521.3003211288694</v>
      </c>
      <c r="J74" s="209">
        <f t="shared" si="16"/>
        <v>1585.1971794162814</v>
      </c>
      <c r="K74" s="209">
        <f t="shared" si="16"/>
        <v>1650.1924413723489</v>
      </c>
      <c r="L74" s="209">
        <f t="shared" si="16"/>
        <v>1716.2022510272432</v>
      </c>
      <c r="M74" s="209">
        <f t="shared" si="16"/>
        <v>1784.8516210683326</v>
      </c>
      <c r="N74" s="209">
        <f t="shared" si="16"/>
        <v>1856.2469659110659</v>
      </c>
      <c r="O74" s="209">
        <f t="shared" si="16"/>
        <v>1930.4981245475083</v>
      </c>
      <c r="P74" s="209">
        <f t="shared" si="16"/>
        <v>2007.7193295294087</v>
      </c>
      <c r="Q74" s="209">
        <f t="shared" si="16"/>
        <v>2088.0293827105857</v>
      </c>
      <c r="R74" s="209">
        <f t="shared" si="16"/>
        <v>2171.5518380190092</v>
      </c>
      <c r="S74" s="209">
        <f t="shared" si="16"/>
        <v>2258.4151915397697</v>
      </c>
      <c r="T74" s="209">
        <f t="shared" si="16"/>
        <v>2348.7530792013604</v>
      </c>
      <c r="U74" s="209">
        <f>U72+U73</f>
        <v>2442.704482369415</v>
      </c>
      <c r="V74" s="209">
        <f>V72+V73</f>
        <v>2540.4139416641915</v>
      </c>
      <c r="W74" s="209">
        <f>W72+W73</f>
        <v>2642.0317793307595</v>
      </c>
      <c r="X74" s="209">
        <f t="shared" si="16"/>
        <v>0</v>
      </c>
      <c r="Y74" s="209">
        <f t="shared" si="16"/>
        <v>0</v>
      </c>
      <c r="Z74" s="209">
        <f t="shared" si="16"/>
        <v>0</v>
      </c>
    </row>
    <row r="75" spans="1:26" s="326" customFormat="1" ht="16.5" thickBot="1" x14ac:dyDescent="0.25">
      <c r="A75" s="324"/>
      <c r="B75" s="325">
        <v>0</v>
      </c>
      <c r="C75" s="325">
        <f>6/12</f>
        <v>0.5</v>
      </c>
      <c r="D75" s="325">
        <f>C75+1</f>
        <v>1.5</v>
      </c>
      <c r="E75" s="325">
        <f t="shared" ref="E75:Z75" si="17">D75+1</f>
        <v>2.5</v>
      </c>
      <c r="F75" s="325">
        <f t="shared" si="17"/>
        <v>3.5</v>
      </c>
      <c r="G75" s="325">
        <f t="shared" si="17"/>
        <v>4.5</v>
      </c>
      <c r="H75" s="325">
        <f t="shared" si="17"/>
        <v>5.5</v>
      </c>
      <c r="I75" s="325">
        <f t="shared" si="17"/>
        <v>6.5</v>
      </c>
      <c r="J75" s="325">
        <f t="shared" si="17"/>
        <v>7.5</v>
      </c>
      <c r="K75" s="325">
        <f t="shared" si="17"/>
        <v>8.5</v>
      </c>
      <c r="L75" s="325">
        <f t="shared" si="17"/>
        <v>9.5</v>
      </c>
      <c r="M75" s="325">
        <f t="shared" si="17"/>
        <v>10.5</v>
      </c>
      <c r="N75" s="325">
        <f t="shared" si="17"/>
        <v>11.5</v>
      </c>
      <c r="O75" s="325">
        <f t="shared" si="17"/>
        <v>12.5</v>
      </c>
      <c r="P75" s="325">
        <f t="shared" si="17"/>
        <v>13.5</v>
      </c>
      <c r="Q75" s="325">
        <f t="shared" si="17"/>
        <v>14.5</v>
      </c>
      <c r="R75" s="325">
        <f t="shared" si="17"/>
        <v>15.5</v>
      </c>
      <c r="S75" s="325">
        <f t="shared" si="17"/>
        <v>16.5</v>
      </c>
      <c r="T75" s="325">
        <f t="shared" si="17"/>
        <v>17.5</v>
      </c>
      <c r="U75" s="325">
        <f t="shared" si="17"/>
        <v>18.5</v>
      </c>
      <c r="V75" s="325">
        <f t="shared" si="17"/>
        <v>19.5</v>
      </c>
      <c r="W75" s="325">
        <f t="shared" si="17"/>
        <v>20.5</v>
      </c>
      <c r="X75" s="325">
        <f t="shared" si="17"/>
        <v>21.5</v>
      </c>
      <c r="Y75" s="325">
        <f t="shared" si="17"/>
        <v>22.5</v>
      </c>
      <c r="Z75" s="325">
        <f t="shared" si="17"/>
        <v>23.5</v>
      </c>
    </row>
    <row r="76" spans="1:26" x14ac:dyDescent="0.2">
      <c r="A76" s="313" t="s">
        <v>295</v>
      </c>
      <c r="B76" s="202">
        <v>1</v>
      </c>
      <c r="C76" s="317">
        <f>B76+1</f>
        <v>2</v>
      </c>
      <c r="D76" s="317">
        <f t="shared" ref="D76:Z76" si="18">C76+1</f>
        <v>3</v>
      </c>
      <c r="E76" s="317">
        <f t="shared" si="18"/>
        <v>4</v>
      </c>
      <c r="F76" s="317">
        <f t="shared" si="18"/>
        <v>5</v>
      </c>
      <c r="G76" s="317">
        <f t="shared" si="18"/>
        <v>6</v>
      </c>
      <c r="H76" s="317">
        <f t="shared" si="18"/>
        <v>7</v>
      </c>
      <c r="I76" s="317">
        <f t="shared" si="18"/>
        <v>8</v>
      </c>
      <c r="J76" s="317">
        <f t="shared" si="18"/>
        <v>9</v>
      </c>
      <c r="K76" s="317">
        <f t="shared" si="18"/>
        <v>10</v>
      </c>
      <c r="L76" s="317">
        <f t="shared" si="18"/>
        <v>11</v>
      </c>
      <c r="M76" s="317">
        <f t="shared" si="18"/>
        <v>12</v>
      </c>
      <c r="N76" s="317">
        <f t="shared" si="18"/>
        <v>13</v>
      </c>
      <c r="O76" s="317">
        <f t="shared" si="18"/>
        <v>14</v>
      </c>
      <c r="P76" s="317">
        <f t="shared" si="18"/>
        <v>15</v>
      </c>
      <c r="Q76" s="317">
        <f t="shared" si="18"/>
        <v>16</v>
      </c>
      <c r="R76" s="317">
        <f t="shared" si="18"/>
        <v>17</v>
      </c>
      <c r="S76" s="317">
        <f t="shared" si="18"/>
        <v>18</v>
      </c>
      <c r="T76" s="317">
        <f t="shared" si="18"/>
        <v>19</v>
      </c>
      <c r="U76" s="317">
        <f t="shared" si="18"/>
        <v>20</v>
      </c>
      <c r="V76" s="317">
        <f t="shared" si="18"/>
        <v>21</v>
      </c>
      <c r="W76" s="317">
        <f t="shared" si="18"/>
        <v>22</v>
      </c>
      <c r="X76" s="317">
        <f t="shared" si="18"/>
        <v>23</v>
      </c>
      <c r="Y76" s="317">
        <f t="shared" si="18"/>
        <v>24</v>
      </c>
      <c r="Z76" s="317">
        <f t="shared" si="18"/>
        <v>25</v>
      </c>
    </row>
    <row r="77" spans="1:26" ht="14.25" x14ac:dyDescent="0.2">
      <c r="A77" s="318" t="s">
        <v>559</v>
      </c>
      <c r="B77" s="319">
        <f t="shared" ref="B77:Z77" si="19">B70</f>
        <v>0</v>
      </c>
      <c r="C77" s="319">
        <f>C70</f>
        <v>1474.3376574131294</v>
      </c>
      <c r="D77" s="319">
        <f t="shared" si="19"/>
        <v>1539.1645143393075</v>
      </c>
      <c r="E77" s="319">
        <f t="shared" si="19"/>
        <v>3078.1509293546883</v>
      </c>
      <c r="F77" s="319">
        <f t="shared" si="19"/>
        <v>1672.7780486350457</v>
      </c>
      <c r="G77" s="319">
        <f t="shared" si="19"/>
        <v>1746.3811747749878</v>
      </c>
      <c r="H77" s="319">
        <f t="shared" si="19"/>
        <v>1823.2238824650867</v>
      </c>
      <c r="I77" s="319">
        <f t="shared" si="19"/>
        <v>1901.6254014110868</v>
      </c>
      <c r="J77" s="319">
        <f t="shared" si="19"/>
        <v>1981.4964742703519</v>
      </c>
      <c r="K77" s="319">
        <f t="shared" si="19"/>
        <v>2062.7405517154361</v>
      </c>
      <c r="L77" s="319">
        <f t="shared" si="19"/>
        <v>2145.2528137840541</v>
      </c>
      <c r="M77" s="319">
        <f t="shared" si="19"/>
        <v>2231.0645263354158</v>
      </c>
      <c r="N77" s="319">
        <f t="shared" si="19"/>
        <v>2320.3087073888323</v>
      </c>
      <c r="O77" s="319">
        <f t="shared" si="19"/>
        <v>2413.1226556843853</v>
      </c>
      <c r="P77" s="319">
        <f t="shared" si="19"/>
        <v>2509.649161911761</v>
      </c>
      <c r="Q77" s="319">
        <f>Q70</f>
        <v>2610.0367283882319</v>
      </c>
      <c r="R77" s="319">
        <f t="shared" si="19"/>
        <v>2714.4397975237616</v>
      </c>
      <c r="S77" s="319">
        <f t="shared" si="19"/>
        <v>2823.0189894247119</v>
      </c>
      <c r="T77" s="319">
        <f t="shared" si="19"/>
        <v>2935.9413490017005</v>
      </c>
      <c r="U77" s="319">
        <f t="shared" si="19"/>
        <v>3053.3806029617685</v>
      </c>
      <c r="V77" s="319">
        <f t="shared" si="19"/>
        <v>3175.5174270802395</v>
      </c>
      <c r="W77" s="319">
        <f t="shared" si="19"/>
        <v>3302.5397241634496</v>
      </c>
      <c r="X77" s="319">
        <f t="shared" si="19"/>
        <v>0</v>
      </c>
      <c r="Y77" s="319">
        <f t="shared" si="19"/>
        <v>0</v>
      </c>
      <c r="Z77" s="319">
        <f t="shared" si="19"/>
        <v>0</v>
      </c>
    </row>
    <row r="78" spans="1:26" x14ac:dyDescent="0.2">
      <c r="A78" s="327" t="s">
        <v>294</v>
      </c>
      <c r="B78" s="314">
        <f>-B69</f>
        <v>0</v>
      </c>
      <c r="C78" s="314">
        <f>-C69</f>
        <v>1783.4269491525424</v>
      </c>
      <c r="D78" s="314">
        <f t="shared" ref="D78:Z78" si="20">-D69</f>
        <v>1783.4269491525424</v>
      </c>
      <c r="E78" s="314">
        <f t="shared" si="20"/>
        <v>1783.4269491525424</v>
      </c>
      <c r="F78" s="314">
        <f>-F69</f>
        <v>1783.4269491525424</v>
      </c>
      <c r="G78" s="314">
        <f t="shared" si="20"/>
        <v>1783.4269491525424</v>
      </c>
      <c r="H78" s="314">
        <f t="shared" si="20"/>
        <v>1783.4269491525424</v>
      </c>
      <c r="I78" s="314">
        <f t="shared" si="20"/>
        <v>1783.4269491525424</v>
      </c>
      <c r="J78" s="314">
        <f t="shared" si="20"/>
        <v>1783.4269491525424</v>
      </c>
      <c r="K78" s="314">
        <f t="shared" si="20"/>
        <v>1783.4269491525424</v>
      </c>
      <c r="L78" s="314">
        <f t="shared" si="20"/>
        <v>1783.4269491525424</v>
      </c>
      <c r="M78" s="314">
        <f t="shared" si="20"/>
        <v>1783.4269491525424</v>
      </c>
      <c r="N78" s="314">
        <f t="shared" si="20"/>
        <v>1783.4269491525424</v>
      </c>
      <c r="O78" s="314">
        <f t="shared" si="20"/>
        <v>1783.4269491525424</v>
      </c>
      <c r="P78" s="314">
        <f t="shared" si="20"/>
        <v>1783.4269491525424</v>
      </c>
      <c r="Q78" s="314">
        <f t="shared" si="20"/>
        <v>1783.4269491525424</v>
      </c>
      <c r="R78" s="314">
        <v>0</v>
      </c>
      <c r="S78" s="314">
        <v>0</v>
      </c>
      <c r="T78" s="314">
        <v>0</v>
      </c>
      <c r="U78" s="314">
        <v>0</v>
      </c>
      <c r="V78" s="314">
        <v>0</v>
      </c>
      <c r="W78" s="314">
        <v>0</v>
      </c>
      <c r="X78" s="314">
        <f t="shared" si="20"/>
        <v>0</v>
      </c>
      <c r="Y78" s="314">
        <f t="shared" si="20"/>
        <v>0</v>
      </c>
      <c r="Z78" s="314">
        <f t="shared" si="20"/>
        <v>0</v>
      </c>
    </row>
    <row r="79" spans="1:26" hidden="1" x14ac:dyDescent="0.2">
      <c r="A79" s="327" t="s">
        <v>293</v>
      </c>
      <c r="B79" s="314">
        <f t="shared" ref="B79:Z79" si="21">B71</f>
        <v>0</v>
      </c>
      <c r="C79" s="314">
        <f t="shared" si="21"/>
        <v>0</v>
      </c>
      <c r="D79" s="314">
        <f t="shared" si="21"/>
        <v>0</v>
      </c>
      <c r="E79" s="314">
        <f t="shared" si="21"/>
        <v>0</v>
      </c>
      <c r="F79" s="314">
        <f t="shared" si="21"/>
        <v>0</v>
      </c>
      <c r="G79" s="314">
        <f t="shared" si="21"/>
        <v>0</v>
      </c>
      <c r="H79" s="314">
        <f t="shared" si="21"/>
        <v>0</v>
      </c>
      <c r="I79" s="314">
        <f t="shared" si="21"/>
        <v>0</v>
      </c>
      <c r="J79" s="314">
        <f t="shared" si="21"/>
        <v>0</v>
      </c>
      <c r="K79" s="314">
        <f t="shared" si="21"/>
        <v>0</v>
      </c>
      <c r="L79" s="314">
        <f t="shared" si="21"/>
        <v>0</v>
      </c>
      <c r="M79" s="314">
        <f t="shared" si="21"/>
        <v>0</v>
      </c>
      <c r="N79" s="314">
        <f t="shared" si="21"/>
        <v>0</v>
      </c>
      <c r="O79" s="314">
        <f t="shared" si="21"/>
        <v>0</v>
      </c>
      <c r="P79" s="314">
        <f t="shared" si="21"/>
        <v>0</v>
      </c>
      <c r="Q79" s="314">
        <f t="shared" si="21"/>
        <v>0</v>
      </c>
      <c r="R79" s="314">
        <f t="shared" si="21"/>
        <v>0</v>
      </c>
      <c r="S79" s="314">
        <f t="shared" si="21"/>
        <v>0</v>
      </c>
      <c r="T79" s="314">
        <f t="shared" si="21"/>
        <v>0</v>
      </c>
      <c r="U79" s="314">
        <f t="shared" si="21"/>
        <v>0</v>
      </c>
      <c r="V79" s="314">
        <f t="shared" si="21"/>
        <v>0</v>
      </c>
      <c r="W79" s="314">
        <f t="shared" si="21"/>
        <v>0</v>
      </c>
      <c r="X79" s="314">
        <f t="shared" si="21"/>
        <v>0</v>
      </c>
      <c r="Y79" s="314">
        <f t="shared" si="21"/>
        <v>0</v>
      </c>
      <c r="Z79" s="314">
        <f t="shared" si="21"/>
        <v>0</v>
      </c>
    </row>
    <row r="80" spans="1:26" ht="15.75" hidden="1" customHeight="1" x14ac:dyDescent="0.2">
      <c r="A80" s="327" t="s">
        <v>292</v>
      </c>
      <c r="B80" s="314">
        <f>IF(SUM($B$73:B73)+SUM($A$80:A80)&gt;0,0,SUM($B$73:B73)-SUM($A$80:A80))</f>
        <v>0</v>
      </c>
      <c r="C80" s="314">
        <f>IF(SUM($B$73:C73)+SUM($A$80:B80)&gt;0,0,SUM($B$73:C73)-SUM($A$80:B80))</f>
        <v>-294.86753148262591</v>
      </c>
      <c r="D80" s="314">
        <f>IF(SUM($B$73:D73)+SUM($A$80:C80)&gt;0,0,SUM($B$73:D73)-SUM($A$80:C80))</f>
        <v>-307.83290286786161</v>
      </c>
      <c r="E80" s="314">
        <f>IF(SUM($B$73:E73)+SUM($A$80:D80)&gt;0,0,SUM($B$73:E73)-SUM($A$80:D80))</f>
        <v>-615.63018587093779</v>
      </c>
      <c r="F80" s="314">
        <f>IF(SUM($B$73:F73)+SUM($A$80:E80)&gt;0,0,SUM($B$73:F73)-SUM($A$80:E80))</f>
        <v>-334.55560972700914</v>
      </c>
      <c r="G80" s="314">
        <f>IF(SUM($B$73:G73)+SUM($A$80:F80)&gt;0,0,SUM($B$73:G73)-SUM($A$80:F80))</f>
        <v>-349.27623495499756</v>
      </c>
      <c r="H80" s="314">
        <f>IF(SUM($B$73:H73)+SUM($A$80:G80)&gt;0,0,SUM($B$73:H73)-SUM($A$80:G80))</f>
        <v>-364.64477649301716</v>
      </c>
      <c r="I80" s="314">
        <f>IF(SUM($B$73:I73)+SUM($A$80:H80)&gt;0,0,SUM($B$73:I73)-SUM($A$80:H80))</f>
        <v>-380.32508028221764</v>
      </c>
      <c r="J80" s="314">
        <f>IF(SUM($B$73:J73)+SUM($A$80:I80)&gt;0,0,SUM($B$73:J73)-SUM($A$80:I80))</f>
        <v>-396.29929485407047</v>
      </c>
      <c r="K80" s="314">
        <f>IF(SUM($B$73:K73)+SUM($A$80:J80)&gt;0,0,SUM($B$73:K73)-SUM($A$80:J80))</f>
        <v>-412.5481103430875</v>
      </c>
      <c r="L80" s="314">
        <f>IF(SUM($B$73:L73)+SUM($A$80:K80)&gt;0,0,SUM($B$73:L73)-SUM($A$80:K80))</f>
        <v>-429.0505627568109</v>
      </c>
      <c r="M80" s="314">
        <f>IF(SUM($B$73:M73)+SUM($A$80:L80)&gt;0,0,SUM($B$73:M73)-SUM($A$80:L80))</f>
        <v>-446.21290526708344</v>
      </c>
      <c r="N80" s="314">
        <f>IF(SUM($B$73:N73)+SUM($A$80:M80)&gt;0,0,SUM($B$73:N73)-SUM($A$80:M80))</f>
        <v>-464.06174147776619</v>
      </c>
      <c r="O80" s="314">
        <f>IF(SUM($B$73:O73)+SUM($A$80:N80)&gt;0,0,SUM($B$73:O73)-SUM($A$80:N80))</f>
        <v>-482.62453113687752</v>
      </c>
      <c r="P80" s="314">
        <f>IF(SUM($B$73:P73)+SUM($A$80:O80)&gt;0,0,SUM($B$73:P73)-SUM($A$80:O80))</f>
        <v>-501.92983238235229</v>
      </c>
      <c r="Q80" s="314">
        <f>IF(SUM($B$73:Q73)+SUM($A$80:P80)&gt;0,0,SUM($B$73:Q73)-SUM($A$80:P80))</f>
        <v>-522.0073456776463</v>
      </c>
      <c r="R80" s="314">
        <f>IF(SUM($B$73:R73)+SUM($A$80:Q80)&gt;0,0,SUM($B$73:R73)-SUM($A$80:Q80))</f>
        <v>-542.88795950475196</v>
      </c>
      <c r="S80" s="314">
        <f>IF(SUM($B$73:S73)+SUM($A$80:R80)&gt;0,0,SUM($B$73:S73)-SUM($A$80:R80))</f>
        <v>-564.60379788494265</v>
      </c>
      <c r="T80" s="314">
        <f>IF(SUM($B$73:T73)+SUM($A$80:S80)&gt;0,0,SUM($B$73:T73)-SUM($A$80:S80))</f>
        <v>-587.18826980034009</v>
      </c>
      <c r="U80" s="314">
        <f>IF(SUM($B$73:U73)+SUM($A$80:T80)&gt;0,0,SUM($B$73:U73)-SUM($A$80:T80))</f>
        <v>-610.67612059235398</v>
      </c>
      <c r="V80" s="314">
        <f>IF(SUM($B$73:V73)+SUM($A$80:U80)&gt;0,0,SUM($B$73:V73)-SUM($A$80:U80))</f>
        <v>-635.10348541604799</v>
      </c>
      <c r="W80" s="314">
        <f>IF(SUM($B$73:W73)+SUM($A$80:V80)&gt;0,0,SUM($B$73:W73)-SUM($A$80:V80))</f>
        <v>-660.50794483269055</v>
      </c>
      <c r="X80" s="314">
        <f>IF(SUM($B$73:X73)+SUM($A$80:W80)&gt;0,0,SUM($B$73:X73)-SUM($A$80:W80))</f>
        <v>0</v>
      </c>
      <c r="Y80" s="314">
        <f>IF(SUM($B$73:Y73)+SUM($A$80:X80)&gt;0,0,SUM($B$73:Y73)-SUM($A$80:X80))</f>
        <v>0</v>
      </c>
      <c r="Z80" s="314">
        <f>IF(SUM($B$73:Z73)+SUM($A$80:Y80)&gt;0,0,SUM($B$73:Z73)-SUM($A$80:Y80))</f>
        <v>0</v>
      </c>
    </row>
    <row r="81" spans="1:26" x14ac:dyDescent="0.2">
      <c r="A81" s="327" t="s">
        <v>291</v>
      </c>
      <c r="B81" s="328">
        <f>('[85]расчет '!$D$40-'[85]расчет '!$D$40/1.18)*0</f>
        <v>0</v>
      </c>
      <c r="C81" s="328">
        <f>('[85]расчет '!$D$40-'[85]расчет '!$D$40/1.18)</f>
        <v>4815.2527627118616</v>
      </c>
      <c r="D81" s="204">
        <v>0</v>
      </c>
      <c r="E81" s="204">
        <v>0</v>
      </c>
      <c r="F81" s="204">
        <v>0</v>
      </c>
      <c r="G81" s="204">
        <v>0</v>
      </c>
      <c r="H81" s="204">
        <v>0</v>
      </c>
      <c r="I81" s="204">
        <v>0</v>
      </c>
      <c r="J81" s="204">
        <v>0</v>
      </c>
      <c r="K81" s="204">
        <v>0</v>
      </c>
      <c r="L81" s="204">
        <v>0</v>
      </c>
      <c r="M81" s="204">
        <v>0</v>
      </c>
      <c r="N81" s="204">
        <v>0</v>
      </c>
      <c r="O81" s="204">
        <v>0</v>
      </c>
      <c r="P81" s="204">
        <v>0</v>
      </c>
      <c r="Q81" s="204">
        <v>0</v>
      </c>
      <c r="R81" s="204">
        <v>0</v>
      </c>
      <c r="S81" s="204">
        <v>0</v>
      </c>
      <c r="T81" s="204">
        <v>0</v>
      </c>
      <c r="U81" s="204">
        <v>0</v>
      </c>
      <c r="V81" s="204">
        <v>0</v>
      </c>
      <c r="W81" s="204">
        <v>0</v>
      </c>
      <c r="X81" s="204"/>
      <c r="Y81" s="204"/>
      <c r="Z81" s="204"/>
    </row>
    <row r="82" spans="1:26" ht="14.25" hidden="1" customHeight="1" x14ac:dyDescent="0.2">
      <c r="A82" s="327" t="s">
        <v>290</v>
      </c>
      <c r="B82" s="314">
        <f>-B59*(B39)*0</f>
        <v>0</v>
      </c>
      <c r="C82" s="314">
        <f t="shared" ref="C82:W82" si="22">-(C59-B59)*$B$39*0</f>
        <v>0</v>
      </c>
      <c r="D82" s="314">
        <f t="shared" si="22"/>
        <v>0</v>
      </c>
      <c r="E82" s="314">
        <f t="shared" si="22"/>
        <v>0</v>
      </c>
      <c r="F82" s="314">
        <f t="shared" si="22"/>
        <v>0</v>
      </c>
      <c r="G82" s="314">
        <f t="shared" si="22"/>
        <v>0</v>
      </c>
      <c r="H82" s="314">
        <f t="shared" si="22"/>
        <v>0</v>
      </c>
      <c r="I82" s="314">
        <f t="shared" si="22"/>
        <v>0</v>
      </c>
      <c r="J82" s="314">
        <f t="shared" si="22"/>
        <v>0</v>
      </c>
      <c r="K82" s="314">
        <f t="shared" si="22"/>
        <v>0</v>
      </c>
      <c r="L82" s="314">
        <f t="shared" si="22"/>
        <v>0</v>
      </c>
      <c r="M82" s="314">
        <f t="shared" si="22"/>
        <v>0</v>
      </c>
      <c r="N82" s="314">
        <f t="shared" si="22"/>
        <v>0</v>
      </c>
      <c r="O82" s="314">
        <f t="shared" si="22"/>
        <v>0</v>
      </c>
      <c r="P82" s="314">
        <f t="shared" si="22"/>
        <v>0</v>
      </c>
      <c r="Q82" s="314">
        <f t="shared" si="22"/>
        <v>0</v>
      </c>
      <c r="R82" s="314">
        <f t="shared" si="22"/>
        <v>0</v>
      </c>
      <c r="S82" s="314">
        <f t="shared" si="22"/>
        <v>0</v>
      </c>
      <c r="T82" s="314">
        <f t="shared" si="22"/>
        <v>0</v>
      </c>
      <c r="U82" s="314">
        <f t="shared" si="22"/>
        <v>0</v>
      </c>
      <c r="V82" s="314">
        <f t="shared" si="22"/>
        <v>0</v>
      </c>
      <c r="W82" s="314">
        <f t="shared" si="22"/>
        <v>0</v>
      </c>
      <c r="X82" s="314"/>
      <c r="Y82" s="314">
        <f>-(Y59-X59)*$B$39</f>
        <v>0</v>
      </c>
      <c r="Z82" s="314">
        <f>-(Z59-Y59)*$B$39</f>
        <v>0</v>
      </c>
    </row>
    <row r="83" spans="1:26" s="311" customFormat="1" x14ac:dyDescent="0.2">
      <c r="A83" s="321" t="s">
        <v>560</v>
      </c>
      <c r="B83" s="329">
        <f>-$B$25*0</f>
        <v>0</v>
      </c>
      <c r="C83" s="329">
        <v>0</v>
      </c>
      <c r="D83" s="204">
        <v>0</v>
      </c>
      <c r="E83" s="204">
        <v>0</v>
      </c>
      <c r="F83" s="204">
        <v>0</v>
      </c>
      <c r="G83" s="204">
        <v>0</v>
      </c>
      <c r="H83" s="204">
        <v>0</v>
      </c>
      <c r="I83" s="204">
        <v>0</v>
      </c>
      <c r="J83" s="204">
        <v>0</v>
      </c>
      <c r="K83" s="204">
        <v>0</v>
      </c>
      <c r="L83" s="204">
        <v>0</v>
      </c>
      <c r="M83" s="204">
        <v>0</v>
      </c>
      <c r="N83" s="204">
        <v>0</v>
      </c>
      <c r="O83" s="204">
        <v>0</v>
      </c>
      <c r="P83" s="204">
        <v>0</v>
      </c>
      <c r="Q83" s="204">
        <v>0</v>
      </c>
      <c r="R83" s="204">
        <v>0</v>
      </c>
      <c r="S83" s="204">
        <v>0</v>
      </c>
      <c r="T83" s="204">
        <v>0</v>
      </c>
      <c r="U83" s="204">
        <v>0</v>
      </c>
      <c r="V83" s="204">
        <v>0</v>
      </c>
      <c r="W83" s="204">
        <v>0</v>
      </c>
      <c r="X83" s="204"/>
      <c r="Y83" s="204"/>
      <c r="Z83" s="204"/>
    </row>
    <row r="84" spans="1:26" x14ac:dyDescent="0.2">
      <c r="A84" s="327" t="s">
        <v>289</v>
      </c>
      <c r="B84" s="314">
        <f>B54-B55</f>
        <v>0</v>
      </c>
      <c r="C84" s="314">
        <f>C78*1.18*0-C55</f>
        <v>0</v>
      </c>
      <c r="D84" s="314">
        <f t="shared" ref="D84:U84" si="23">D54-D55</f>
        <v>0</v>
      </c>
      <c r="E84" s="314">
        <f t="shared" si="23"/>
        <v>0</v>
      </c>
      <c r="F84" s="314">
        <f t="shared" si="23"/>
        <v>0</v>
      </c>
      <c r="G84" s="314">
        <f t="shared" si="23"/>
        <v>0</v>
      </c>
      <c r="H84" s="314">
        <f t="shared" si="23"/>
        <v>0</v>
      </c>
      <c r="I84" s="314">
        <f t="shared" si="23"/>
        <v>0</v>
      </c>
      <c r="J84" s="314">
        <f t="shared" si="23"/>
        <v>0</v>
      </c>
      <c r="K84" s="314">
        <f t="shared" si="23"/>
        <v>0</v>
      </c>
      <c r="L84" s="314">
        <f t="shared" si="23"/>
        <v>0</v>
      </c>
      <c r="M84" s="314">
        <f t="shared" si="23"/>
        <v>0</v>
      </c>
      <c r="N84" s="314">
        <f t="shared" si="23"/>
        <v>0</v>
      </c>
      <c r="O84" s="314">
        <f t="shared" si="23"/>
        <v>0</v>
      </c>
      <c r="P84" s="314">
        <f t="shared" si="23"/>
        <v>0</v>
      </c>
      <c r="Q84" s="314">
        <f t="shared" si="23"/>
        <v>0</v>
      </c>
      <c r="R84" s="314">
        <f t="shared" si="23"/>
        <v>0</v>
      </c>
      <c r="S84" s="314">
        <f t="shared" si="23"/>
        <v>0</v>
      </c>
      <c r="T84" s="314">
        <f t="shared" si="23"/>
        <v>0</v>
      </c>
      <c r="U84" s="314">
        <f t="shared" si="23"/>
        <v>0</v>
      </c>
      <c r="V84" s="314"/>
      <c r="W84" s="314">
        <f>W54-W55</f>
        <v>0</v>
      </c>
      <c r="X84" s="314">
        <f>X54-X55</f>
        <v>0</v>
      </c>
      <c r="Y84" s="314">
        <f>Y54-Y55</f>
        <v>0</v>
      </c>
      <c r="Z84" s="314">
        <f>Z54-Z55</f>
        <v>0</v>
      </c>
    </row>
    <row r="85" spans="1:26" ht="14.25" x14ac:dyDescent="0.2">
      <c r="A85" s="322" t="s">
        <v>288</v>
      </c>
      <c r="B85" s="319">
        <f>SUM(B77:B84)</f>
        <v>0</v>
      </c>
      <c r="C85" s="319">
        <f>SUM(C77:C84)</f>
        <v>7778.1498377949074</v>
      </c>
      <c r="D85" s="319">
        <f>SUM(D77:D84)</f>
        <v>3014.7585606239882</v>
      </c>
      <c r="E85" s="319">
        <f t="shared" ref="E85:Z85" si="24">SUM(E77:E84)</f>
        <v>4245.9476926362931</v>
      </c>
      <c r="F85" s="319">
        <f t="shared" si="24"/>
        <v>3121.649388060579</v>
      </c>
      <c r="G85" s="319">
        <f t="shared" si="24"/>
        <v>3180.5318889725327</v>
      </c>
      <c r="H85" s="319">
        <f t="shared" si="24"/>
        <v>3242.006055124612</v>
      </c>
      <c r="I85" s="319">
        <f t="shared" si="24"/>
        <v>3304.7272702814116</v>
      </c>
      <c r="J85" s="319">
        <f t="shared" si="24"/>
        <v>3368.6241285688238</v>
      </c>
      <c r="K85" s="319">
        <f t="shared" si="24"/>
        <v>3433.6193905248911</v>
      </c>
      <c r="L85" s="319">
        <f t="shared" si="24"/>
        <v>3499.6292001797856</v>
      </c>
      <c r="M85" s="319">
        <f t="shared" si="24"/>
        <v>3568.2785702208748</v>
      </c>
      <c r="N85" s="319">
        <f t="shared" si="24"/>
        <v>3639.6739150636085</v>
      </c>
      <c r="O85" s="319">
        <f t="shared" si="24"/>
        <v>3713.9250737000502</v>
      </c>
      <c r="P85" s="319">
        <f t="shared" si="24"/>
        <v>3791.1462786819511</v>
      </c>
      <c r="Q85" s="319">
        <f>SUM(Q77:Q84)</f>
        <v>3871.4563318631281</v>
      </c>
      <c r="R85" s="319">
        <f t="shared" si="24"/>
        <v>2171.5518380190097</v>
      </c>
      <c r="S85" s="319">
        <f t="shared" si="24"/>
        <v>2258.4151915397692</v>
      </c>
      <c r="T85" s="319">
        <f t="shared" si="24"/>
        <v>2348.7530792013604</v>
      </c>
      <c r="U85" s="319">
        <f t="shared" si="24"/>
        <v>2442.7044823694146</v>
      </c>
      <c r="V85" s="319">
        <f t="shared" si="24"/>
        <v>2540.4139416641915</v>
      </c>
      <c r="W85" s="319">
        <f t="shared" si="24"/>
        <v>2642.031779330759</v>
      </c>
      <c r="X85" s="319">
        <f>SUM(X77:X84)</f>
        <v>0</v>
      </c>
      <c r="Y85" s="319">
        <f t="shared" si="24"/>
        <v>0</v>
      </c>
      <c r="Z85" s="319">
        <f t="shared" si="24"/>
        <v>0</v>
      </c>
    </row>
    <row r="86" spans="1:26" ht="14.25" x14ac:dyDescent="0.2">
      <c r="A86" s="322" t="s">
        <v>561</v>
      </c>
      <c r="B86" s="319">
        <f>SUM($B$85:B85)</f>
        <v>0</v>
      </c>
      <c r="C86" s="319">
        <f>SUM($B$85:C85)</f>
        <v>7778.1498377949074</v>
      </c>
      <c r="D86" s="319">
        <f>SUM($B$85:D85)</f>
        <v>10792.908398418895</v>
      </c>
      <c r="E86" s="319">
        <f>SUM($B$85:E85)</f>
        <v>15038.856091055188</v>
      </c>
      <c r="F86" s="319">
        <f>SUM($B$85:F85)</f>
        <v>18160.505479115767</v>
      </c>
      <c r="G86" s="319">
        <f>SUM($B$85:G85)</f>
        <v>21341.037368088299</v>
      </c>
      <c r="H86" s="319">
        <f>SUM($B$85:H85)</f>
        <v>24583.043423212912</v>
      </c>
      <c r="I86" s="319">
        <f>SUM($B$85:I85)</f>
        <v>27887.770693494323</v>
      </c>
      <c r="J86" s="319">
        <f>SUM($B$85:J85)</f>
        <v>31256.394822063146</v>
      </c>
      <c r="K86" s="319">
        <f>SUM($B$85:K85)</f>
        <v>34690.014212588037</v>
      </c>
      <c r="L86" s="319">
        <f>SUM($B$85:L85)</f>
        <v>38189.643412767822</v>
      </c>
      <c r="M86" s="319">
        <f>SUM($B$85:M85)</f>
        <v>41757.921982988701</v>
      </c>
      <c r="N86" s="319">
        <f>SUM($B$85:N85)</f>
        <v>45397.595898052306</v>
      </c>
      <c r="O86" s="319">
        <f>SUM($B$85:O85)</f>
        <v>49111.520971752354</v>
      </c>
      <c r="P86" s="319">
        <f>SUM($B$85:P85)</f>
        <v>52902.667250434308</v>
      </c>
      <c r="Q86" s="319">
        <f>SUM($B$85:Q85)</f>
        <v>56774.123582297434</v>
      </c>
      <c r="R86" s="319">
        <f>SUM($B$85:R85)</f>
        <v>58945.675420316446</v>
      </c>
      <c r="S86" s="319">
        <f>SUM($B$85:S85)</f>
        <v>61204.090611856212</v>
      </c>
      <c r="T86" s="319">
        <f>SUM($B$85:T85)</f>
        <v>63552.843691057569</v>
      </c>
      <c r="U86" s="319">
        <f>SUM($B$85:U85)</f>
        <v>65995.548173426985</v>
      </c>
      <c r="V86" s="319">
        <f>SUM($B$85:V85)</f>
        <v>68535.96211509117</v>
      </c>
      <c r="W86" s="319">
        <f>SUM($B$85:W85)</f>
        <v>71177.993894421932</v>
      </c>
      <c r="X86" s="319">
        <f>SUM($B$85:X85)</f>
        <v>71177.993894421932</v>
      </c>
      <c r="Y86" s="319">
        <f>SUM($B$85:Y85)</f>
        <v>71177.993894421932</v>
      </c>
      <c r="Z86" s="319">
        <f>SUM($B$85:Z85)</f>
        <v>71177.993894421932</v>
      </c>
    </row>
    <row r="87" spans="1:26" x14ac:dyDescent="0.2">
      <c r="A87" s="208" t="s">
        <v>512</v>
      </c>
      <c r="B87" s="330">
        <f>1/POWER((1+$B$44),B75)</f>
        <v>1</v>
      </c>
      <c r="C87" s="330">
        <f>1/POWER((1+$B$44),C75)</f>
        <v>0.92648210922415886</v>
      </c>
      <c r="D87" s="330">
        <f>1/POWER((1+$B$44),D75)</f>
        <v>0.79526361306794757</v>
      </c>
      <c r="E87" s="330">
        <f t="shared" ref="E87:Z87" si="25">1/POWER((1+$B$44),E75)</f>
        <v>0.68262971078793777</v>
      </c>
      <c r="F87" s="330">
        <f t="shared" si="25"/>
        <v>0.58594824960337999</v>
      </c>
      <c r="G87" s="330">
        <f t="shared" si="25"/>
        <v>0.50295987090418881</v>
      </c>
      <c r="H87" s="330">
        <f>1/POWER((1+$B$44),H75)</f>
        <v>0.43172521107655687</v>
      </c>
      <c r="I87" s="330">
        <f t="shared" si="25"/>
        <v>0.3705795803232248</v>
      </c>
      <c r="J87" s="330">
        <f t="shared" si="25"/>
        <v>0.31809406036328308</v>
      </c>
      <c r="K87" s="330">
        <f t="shared" si="25"/>
        <v>0.27304211189981381</v>
      </c>
      <c r="L87" s="330">
        <f>1/POWER((1+$B$44),L75)</f>
        <v>0.23437091150198605</v>
      </c>
      <c r="M87" s="330">
        <f t="shared" si="25"/>
        <v>0.20117674807037431</v>
      </c>
      <c r="N87" s="330">
        <f t="shared" si="25"/>
        <v>0.17268390392306807</v>
      </c>
      <c r="O87" s="330">
        <f t="shared" si="25"/>
        <v>0.14822652697259062</v>
      </c>
      <c r="P87" s="330">
        <f t="shared" si="25"/>
        <v>0.1272330703627387</v>
      </c>
      <c r="Q87" s="330">
        <f t="shared" si="25"/>
        <v>0.10921293593368128</v>
      </c>
      <c r="R87" s="330">
        <f t="shared" si="25"/>
        <v>9.3745009385134151E-2</v>
      </c>
      <c r="S87" s="330">
        <f t="shared" si="25"/>
        <v>8.0467819214707428E-2</v>
      </c>
      <c r="T87" s="330">
        <f t="shared" si="25"/>
        <v>6.9071089454684501E-2</v>
      </c>
      <c r="U87" s="330">
        <f t="shared" si="25"/>
        <v>5.9288488802304286E-2</v>
      </c>
      <c r="V87" s="330">
        <f t="shared" si="25"/>
        <v>5.0891406697256877E-2</v>
      </c>
      <c r="W87" s="330">
        <f t="shared" si="25"/>
        <v>4.3683610898932947E-2</v>
      </c>
      <c r="X87" s="330">
        <f t="shared" si="25"/>
        <v>3.7496661715822277E-2</v>
      </c>
      <c r="Y87" s="330">
        <f t="shared" si="25"/>
        <v>3.2185975721735857E-2</v>
      </c>
      <c r="Z87" s="330">
        <f t="shared" si="25"/>
        <v>2.7627446971447089E-2</v>
      </c>
    </row>
    <row r="88" spans="1:26" ht="14.25" x14ac:dyDescent="0.2">
      <c r="A88" s="331" t="s">
        <v>562</v>
      </c>
      <c r="B88" s="207">
        <f t="shared" ref="B88:Z88" si="26">B85*B87</f>
        <v>0</v>
      </c>
      <c r="C88" s="207">
        <f>C85*C87</f>
        <v>7206.3166675817747</v>
      </c>
      <c r="D88" s="207">
        <f t="shared" si="26"/>
        <v>2397.5277854493579</v>
      </c>
      <c r="E88" s="207">
        <f t="shared" si="26"/>
        <v>2898.4100454450245</v>
      </c>
      <c r="F88" s="207">
        <f t="shared" si="26"/>
        <v>1829.1249948095585</v>
      </c>
      <c r="G88" s="207">
        <f t="shared" si="26"/>
        <v>1599.6799082842808</v>
      </c>
      <c r="H88" s="207">
        <f t="shared" si="26"/>
        <v>1399.6557484601485</v>
      </c>
      <c r="I88" s="207">
        <f t="shared" si="26"/>
        <v>1224.6644449036019</v>
      </c>
      <c r="J88" s="207">
        <f t="shared" si="26"/>
        <v>1071.5393268941834</v>
      </c>
      <c r="K88" s="207">
        <f t="shared" si="26"/>
        <v>937.52268984906777</v>
      </c>
      <c r="L88" s="207">
        <f t="shared" si="26"/>
        <v>820.2112855651028</v>
      </c>
      <c r="M88" s="207">
        <f t="shared" si="26"/>
        <v>717.85467896624039</v>
      </c>
      <c r="N88" s="207">
        <f t="shared" si="26"/>
        <v>628.51310066014116</v>
      </c>
      <c r="O88" s="207">
        <f t="shared" si="26"/>
        <v>550.50221511098107</v>
      </c>
      <c r="P88" s="207">
        <f t="shared" si="26"/>
        <v>482.35918123097571</v>
      </c>
      <c r="Q88" s="207">
        <f t="shared" si="26"/>
        <v>422.81311234181254</v>
      </c>
      <c r="R88" s="207">
        <f t="shared" si="26"/>
        <v>203.57214743539737</v>
      </c>
      <c r="S88" s="207">
        <f t="shared" si="26"/>
        <v>181.729745344571</v>
      </c>
      <c r="T88" s="207">
        <f t="shared" si="26"/>
        <v>162.23093404048282</v>
      </c>
      <c r="U88" s="207">
        <f t="shared" si="26"/>
        <v>144.82425735029753</v>
      </c>
      <c r="V88" s="207">
        <f t="shared" si="26"/>
        <v>129.28523908461378</v>
      </c>
      <c r="W88" s="207">
        <f t="shared" si="26"/>
        <v>115.41348823090036</v>
      </c>
      <c r="X88" s="207">
        <f t="shared" si="26"/>
        <v>0</v>
      </c>
      <c r="Y88" s="207">
        <f t="shared" si="26"/>
        <v>0</v>
      </c>
      <c r="Z88" s="207">
        <f t="shared" si="26"/>
        <v>0</v>
      </c>
    </row>
    <row r="89" spans="1:26" ht="14.25" x14ac:dyDescent="0.2">
      <c r="A89" s="331" t="s">
        <v>563</v>
      </c>
      <c r="B89" s="207">
        <f>SUM($B$88:B88)</f>
        <v>0</v>
      </c>
      <c r="C89" s="207">
        <f>SUM($B$88:C88)</f>
        <v>7206.3166675817747</v>
      </c>
      <c r="D89" s="207">
        <f>SUM($B$88:D88)</f>
        <v>9603.8444530311317</v>
      </c>
      <c r="E89" s="207">
        <f>SUM($B$88:E88)</f>
        <v>12502.254498476155</v>
      </c>
      <c r="F89" s="207">
        <f>SUM($B$88:F88)</f>
        <v>14331.379493285714</v>
      </c>
      <c r="G89" s="207">
        <f>SUM($B$88:G88)</f>
        <v>15931.059401569995</v>
      </c>
      <c r="H89" s="207">
        <f>SUM($B$88:H88)</f>
        <v>17330.715150030144</v>
      </c>
      <c r="I89" s="207">
        <f>SUM($B$88:I88)</f>
        <v>18555.379594933747</v>
      </c>
      <c r="J89" s="207">
        <f>SUM($B$88:J88)</f>
        <v>19626.918921827932</v>
      </c>
      <c r="K89" s="207">
        <f>SUM($B$88:K88)</f>
        <v>20564.441611677001</v>
      </c>
      <c r="L89" s="207">
        <f>SUM($B$88:L88)</f>
        <v>21384.652897242104</v>
      </c>
      <c r="M89" s="207">
        <f>SUM($B$88:M88)</f>
        <v>22102.507576208343</v>
      </c>
      <c r="N89" s="207">
        <f>SUM($B$88:N88)</f>
        <v>22731.020676868484</v>
      </c>
      <c r="O89" s="207">
        <f>SUM($B$88:O88)</f>
        <v>23281.522891979464</v>
      </c>
      <c r="P89" s="207">
        <f>SUM($B$88:P88)</f>
        <v>23763.88207321044</v>
      </c>
      <c r="Q89" s="207">
        <f>SUM($B$88:Q88)</f>
        <v>24186.695185552253</v>
      </c>
      <c r="R89" s="207">
        <f>SUM($B$88:R88)</f>
        <v>24390.267332987649</v>
      </c>
      <c r="S89" s="207">
        <f>SUM($B$88:S88)</f>
        <v>24571.997078332221</v>
      </c>
      <c r="T89" s="207">
        <f>SUM($B$88:T88)</f>
        <v>24734.228012372703</v>
      </c>
      <c r="U89" s="207">
        <f>SUM($B$88:U88)</f>
        <v>24879.052269723001</v>
      </c>
      <c r="V89" s="207">
        <f>SUM($B$88:V88)</f>
        <v>25008.337508807614</v>
      </c>
      <c r="W89" s="207">
        <f>SUM($B$88:W88)</f>
        <v>25123.750997038514</v>
      </c>
      <c r="X89" s="207">
        <f>SUM($B$88:X88)</f>
        <v>25123.750997038514</v>
      </c>
      <c r="Y89" s="207">
        <f>SUM($B$88:Y88)</f>
        <v>25123.750997038514</v>
      </c>
      <c r="Z89" s="207">
        <f>SUM($B$88:Z88)</f>
        <v>25123.750997038514</v>
      </c>
    </row>
    <row r="90" spans="1:26" ht="14.25" x14ac:dyDescent="0.2">
      <c r="A90" s="331" t="s">
        <v>564</v>
      </c>
      <c r="B90" s="210">
        <f>IF((ISERR(IRR($B$85:B85))),0,IF(IRR($B$85:B85)&lt;0,0,IRR($B$85:B85)))</f>
        <v>0</v>
      </c>
      <c r="C90" s="210">
        <f>IF((ISERR(IRR($B$85:C85))),0,IF(IRR($B$85:C85)&lt;0,0,IRR($B$85:C85)))</f>
        <v>0</v>
      </c>
      <c r="D90" s="210">
        <f>IF((ISERR(IRR($B$85:D85))),0,IF(IRR($B$85:D85)&lt;0,0,IRR($B$85:D85)))</f>
        <v>0</v>
      </c>
      <c r="E90" s="210">
        <f>IF((ISERR(IRR($B$85:E85))),0,IF(IRR($B$85:E85)&lt;0,0,IRR($B$85:E85)))</f>
        <v>0</v>
      </c>
      <c r="F90" s="210">
        <f>IF((ISERR(IRR($B$85:F85))),0,IF(IRR($B$85:F85)&lt;0,0,IRR($B$85:F85)))</f>
        <v>0</v>
      </c>
      <c r="G90" s="210">
        <f>IF((ISERR(IRR($B$85:G85))),0,IF(IRR($B$85:G85)&lt;0,0,IRR($B$85:G85)))</f>
        <v>0</v>
      </c>
      <c r="H90" s="210">
        <f>IF((ISERR(IRR($B$85:H85))),0,IF(IRR($B$85:H85)&lt;0,0,IRR($B$85:H85)))</f>
        <v>0</v>
      </c>
      <c r="I90" s="210">
        <f>IF((ISERR(IRR($B$85:I85))),0,IF(IRR($B$85:I85)&lt;0,0,IRR($B$85:I85)))</f>
        <v>0</v>
      </c>
      <c r="J90" s="210">
        <f>IF((ISERR(IRR($B$85:J85))),0,IF(IRR($B$85:J85)&lt;0,0,IRR($B$85:J85)))</f>
        <v>0</v>
      </c>
      <c r="K90" s="210">
        <f>IF((ISERR(IRR($B$85:K85))),0,IF(IRR($B$85:K85)&lt;0,0,IRR($B$85:K85)))</f>
        <v>0</v>
      </c>
      <c r="L90" s="210">
        <f>IF((ISERR(IRR($B$85:L85))),0,IF(IRR($B$85:L85)&lt;0,0,IRR($B$85:L85)))</f>
        <v>0</v>
      </c>
      <c r="M90" s="210">
        <f>IF((ISERR(IRR($B$85:M85))),0,IF(IRR($B$85:M85)&lt;0,0,IRR($B$85:M85)))</f>
        <v>0</v>
      </c>
      <c r="N90" s="210">
        <f>IF((ISERR(IRR($B$85:N85))),0,IF(IRR($B$85:N85)&lt;0,0,IRR($B$85:N85)))</f>
        <v>0</v>
      </c>
      <c r="O90" s="210">
        <f>IF((ISERR(IRR($B$85:O85))),0,IF(IRR($B$85:O85)&lt;0,0,IRR($B$85:O85)))</f>
        <v>0</v>
      </c>
      <c r="P90" s="210">
        <f>IF((ISERR(IRR($B$85:P85))),0,IF(IRR($B$85:P85)&lt;0,0,IRR($B$85:P85)))</f>
        <v>0</v>
      </c>
      <c r="Q90" s="210">
        <f>IF((ISERR(IRR($B$85:Q85))),0,IF(IRR($B$85:Q85)&lt;0,0,IRR($B$85:Q85)))</f>
        <v>0</v>
      </c>
      <c r="R90" s="210">
        <f>IF((ISERR(IRR($B$85:R85))),0,IF(IRR($B$85:R85)&lt;0,0,IRR($B$85:R85)))</f>
        <v>0</v>
      </c>
      <c r="S90" s="210">
        <f>IF((ISERR(IRR($B$85:S85))),0,IF(IRR($B$85:S85)&lt;0,0,IRR($B$85:S85)))</f>
        <v>0</v>
      </c>
      <c r="T90" s="210">
        <f>IF((ISERR(IRR($B$85:T85))),0,IF(IRR($B$85:T85)&lt;0,0,IRR($B$85:T85)))</f>
        <v>0</v>
      </c>
      <c r="U90" s="210">
        <f>IF((ISERR(IRR($B$85:U85))),0,IF(IRR($B$85:U85)&lt;0,0,IRR($B$85:U85)))</f>
        <v>0</v>
      </c>
      <c r="V90" s="210">
        <f>IF((ISERR(IRR($B$85:V85))),0,IF(IRR($B$85:V85)&lt;0,0,IRR($B$85:V85)))</f>
        <v>0</v>
      </c>
      <c r="W90" s="210">
        <f>IF((ISERR(IRR($B$85:W85))),0,IF(IRR($B$85:W85)&lt;0,0,IRR($B$85:W85)))</f>
        <v>0</v>
      </c>
      <c r="X90" s="210">
        <f>IF((ISERR(IRR($B$85:X85))),0,IF(IRR($B$85:X85)&lt;0,0,IRR($B$85:X85)))</f>
        <v>0</v>
      </c>
      <c r="Y90" s="210">
        <f>IF((ISERR(IRR($B$85:Y85))),0,IF(IRR($B$85:Y85)&lt;0,0,IRR($B$85:Y85)))</f>
        <v>0</v>
      </c>
      <c r="Z90" s="210">
        <f>IF((ISERR(IRR($B$85:Z85))),0,IF(IRR($B$85:Z85)&lt;0,0,IRR($B$85:Z85)))</f>
        <v>0</v>
      </c>
    </row>
    <row r="91" spans="1:26" ht="14.25" x14ac:dyDescent="0.2">
      <c r="A91" s="331" t="s">
        <v>565</v>
      </c>
      <c r="B91" s="211">
        <f>IF(AND(B86&gt;0,A86&lt;0),(B76-(B86/(B86-A86))),0)</f>
        <v>0</v>
      </c>
      <c r="C91" s="211">
        <f>IF(AND(C86&gt;0,B86&lt;0),(C76-(C86/(C86-B86))),0)</f>
        <v>0</v>
      </c>
      <c r="D91" s="211">
        <f>IF(AND(D86&gt;0,C86&lt;0),(D76-(D86/(D86-C86))),0)</f>
        <v>0</v>
      </c>
      <c r="E91" s="211">
        <f t="shared" ref="E91:Z91" si="27">IF(AND(E86&gt;0,D86&lt;0),(E76-(E86/(E86-D86))),0)</f>
        <v>0</v>
      </c>
      <c r="F91" s="211">
        <f t="shared" si="27"/>
        <v>0</v>
      </c>
      <c r="G91" s="211">
        <f t="shared" si="27"/>
        <v>0</v>
      </c>
      <c r="H91" s="211">
        <f>IF(AND(H86&gt;0,G86&lt;0),(H76-(H86/(H86-G86))),0)</f>
        <v>0</v>
      </c>
      <c r="I91" s="211">
        <f t="shared" si="27"/>
        <v>0</v>
      </c>
      <c r="J91" s="211">
        <f t="shared" si="27"/>
        <v>0</v>
      </c>
      <c r="K91" s="211">
        <f t="shared" si="27"/>
        <v>0</v>
      </c>
      <c r="L91" s="211">
        <f t="shared" si="27"/>
        <v>0</v>
      </c>
      <c r="M91" s="211">
        <f t="shared" si="27"/>
        <v>0</v>
      </c>
      <c r="N91" s="211">
        <f t="shared" si="27"/>
        <v>0</v>
      </c>
      <c r="O91" s="211">
        <f t="shared" si="27"/>
        <v>0</v>
      </c>
      <c r="P91" s="211">
        <f t="shared" si="27"/>
        <v>0</v>
      </c>
      <c r="Q91" s="211">
        <f>IF(AND(Q86&gt;0,P86&lt;0),(Q76-(Q86/(Q86-P86))),0)</f>
        <v>0</v>
      </c>
      <c r="R91" s="211">
        <f t="shared" si="27"/>
        <v>0</v>
      </c>
      <c r="S91" s="211">
        <f t="shared" si="27"/>
        <v>0</v>
      </c>
      <c r="T91" s="211">
        <f t="shared" si="27"/>
        <v>0</v>
      </c>
      <c r="U91" s="211">
        <f t="shared" si="27"/>
        <v>0</v>
      </c>
      <c r="V91" s="211">
        <f t="shared" si="27"/>
        <v>0</v>
      </c>
      <c r="W91" s="211">
        <f t="shared" si="27"/>
        <v>0</v>
      </c>
      <c r="X91" s="211">
        <f t="shared" si="27"/>
        <v>0</v>
      </c>
      <c r="Y91" s="211">
        <f t="shared" si="27"/>
        <v>0</v>
      </c>
      <c r="Z91" s="211">
        <f t="shared" si="27"/>
        <v>0</v>
      </c>
    </row>
    <row r="92" spans="1:26" ht="15" thickBot="1" x14ac:dyDescent="0.25">
      <c r="A92" s="332" t="s">
        <v>566</v>
      </c>
      <c r="B92" s="212">
        <f t="shared" ref="B92:Z92" si="28">IF(AND(B89&gt;0,A89&lt;0),(B76-(B89/(B89-A89))),0)</f>
        <v>0</v>
      </c>
      <c r="C92" s="212">
        <f>IF(AND(C89&gt;0,B89&lt;0),(C76-(C89/(C89-B89))),0)</f>
        <v>0</v>
      </c>
      <c r="D92" s="212">
        <f t="shared" si="28"/>
        <v>0</v>
      </c>
      <c r="E92" s="212">
        <f t="shared" si="28"/>
        <v>0</v>
      </c>
      <c r="F92" s="212">
        <f t="shared" si="28"/>
        <v>0</v>
      </c>
      <c r="G92" s="212">
        <f t="shared" si="28"/>
        <v>0</v>
      </c>
      <c r="H92" s="212">
        <f t="shared" si="28"/>
        <v>0</v>
      </c>
      <c r="I92" s="212">
        <f t="shared" si="28"/>
        <v>0</v>
      </c>
      <c r="J92" s="212">
        <f t="shared" si="28"/>
        <v>0</v>
      </c>
      <c r="K92" s="212">
        <f t="shared" si="28"/>
        <v>0</v>
      </c>
      <c r="L92" s="212">
        <f t="shared" si="28"/>
        <v>0</v>
      </c>
      <c r="M92" s="212">
        <f t="shared" si="28"/>
        <v>0</v>
      </c>
      <c r="N92" s="212">
        <f t="shared" si="28"/>
        <v>0</v>
      </c>
      <c r="O92" s="212">
        <f t="shared" si="28"/>
        <v>0</v>
      </c>
      <c r="P92" s="212">
        <f t="shared" si="28"/>
        <v>0</v>
      </c>
      <c r="Q92" s="212">
        <f t="shared" si="28"/>
        <v>0</v>
      </c>
      <c r="R92" s="212">
        <f t="shared" si="28"/>
        <v>0</v>
      </c>
      <c r="S92" s="212">
        <f t="shared" si="28"/>
        <v>0</v>
      </c>
      <c r="T92" s="212">
        <f t="shared" si="28"/>
        <v>0</v>
      </c>
      <c r="U92" s="212">
        <f>IF(AND(U89&gt;0,T89&lt;0),(U76-(U89/(U89-T89))),0)</f>
        <v>0</v>
      </c>
      <c r="V92" s="212">
        <f t="shared" si="28"/>
        <v>0</v>
      </c>
      <c r="W92" s="212">
        <f t="shared" si="28"/>
        <v>0</v>
      </c>
      <c r="X92" s="212">
        <f t="shared" si="28"/>
        <v>0</v>
      </c>
      <c r="Y92" s="212">
        <f t="shared" si="28"/>
        <v>0</v>
      </c>
      <c r="Z92" s="212">
        <f t="shared" si="28"/>
        <v>0</v>
      </c>
    </row>
    <row r="93" spans="1:26" x14ac:dyDescent="0.2">
      <c r="B93" s="333"/>
      <c r="C93" s="334"/>
    </row>
    <row r="94" spans="1:26" x14ac:dyDescent="0.2">
      <c r="A94" s="409" t="s">
        <v>567</v>
      </c>
      <c r="B94" s="409"/>
      <c r="C94" s="409"/>
      <c r="D94" s="409"/>
      <c r="E94" s="409"/>
      <c r="F94" s="409"/>
      <c r="G94" s="409"/>
      <c r="H94" s="409"/>
      <c r="I94" s="409"/>
      <c r="J94" s="409"/>
      <c r="K94" s="409"/>
      <c r="L94" s="409"/>
      <c r="M94" s="409"/>
      <c r="N94" s="409"/>
      <c r="O94" s="409"/>
      <c r="P94" s="409"/>
      <c r="Q94" s="409"/>
      <c r="R94" s="409"/>
      <c r="S94" s="409"/>
      <c r="T94" s="409"/>
      <c r="U94" s="409"/>
      <c r="V94" s="409"/>
      <c r="W94" s="409"/>
      <c r="X94" s="409"/>
      <c r="Y94" s="409"/>
      <c r="Z94" s="409"/>
    </row>
    <row r="95" spans="1:26" ht="15" customHeight="1" x14ac:dyDescent="0.2">
      <c r="A95" s="410" t="s">
        <v>568</v>
      </c>
      <c r="B95" s="410"/>
      <c r="C95" s="410"/>
      <c r="D95" s="410"/>
      <c r="E95" s="410"/>
      <c r="F95" s="410"/>
      <c r="G95" s="410"/>
      <c r="H95" s="410"/>
      <c r="I95" s="410"/>
    </row>
    <row r="96" spans="1:26" x14ac:dyDescent="0.2">
      <c r="C96" s="335"/>
    </row>
    <row r="97" spans="1:22" x14ac:dyDescent="0.2">
      <c r="C97" s="336">
        <f t="shared" ref="C97:V97" si="29">C47</f>
        <v>2019</v>
      </c>
      <c r="D97" s="336">
        <f t="shared" si="29"/>
        <v>2020</v>
      </c>
      <c r="E97" s="336">
        <f t="shared" si="29"/>
        <v>2021</v>
      </c>
      <c r="F97" s="336">
        <f t="shared" si="29"/>
        <v>2022</v>
      </c>
      <c r="G97" s="336">
        <f t="shared" si="29"/>
        <v>2023</v>
      </c>
      <c r="H97" s="336">
        <f t="shared" si="29"/>
        <v>2024</v>
      </c>
      <c r="I97" s="336">
        <f t="shared" si="29"/>
        <v>2025</v>
      </c>
      <c r="J97" s="336">
        <f t="shared" si="29"/>
        <v>2026</v>
      </c>
      <c r="K97" s="336">
        <f t="shared" si="29"/>
        <v>2027</v>
      </c>
      <c r="L97" s="336">
        <f t="shared" si="29"/>
        <v>2028</v>
      </c>
      <c r="M97" s="336">
        <f t="shared" si="29"/>
        <v>2029</v>
      </c>
      <c r="N97" s="336">
        <f t="shared" si="29"/>
        <v>2030</v>
      </c>
      <c r="O97" s="336">
        <f t="shared" si="29"/>
        <v>2031</v>
      </c>
      <c r="P97" s="336">
        <f t="shared" si="29"/>
        <v>2032</v>
      </c>
      <c r="Q97" s="336">
        <f t="shared" si="29"/>
        <v>2033</v>
      </c>
      <c r="R97" s="336">
        <f t="shared" si="29"/>
        <v>2034</v>
      </c>
      <c r="S97" s="336">
        <f t="shared" si="29"/>
        <v>2035</v>
      </c>
      <c r="T97" s="336">
        <f t="shared" si="29"/>
        <v>2036</v>
      </c>
      <c r="U97" s="336">
        <f t="shared" si="29"/>
        <v>2037</v>
      </c>
      <c r="V97" s="336">
        <f t="shared" si="29"/>
        <v>2038</v>
      </c>
    </row>
    <row r="98" spans="1:22" x14ac:dyDescent="0.2">
      <c r="A98" s="337" t="s">
        <v>569</v>
      </c>
      <c r="B98" s="337" t="str">
        <f>A88</f>
        <v>PV</v>
      </c>
      <c r="C98" s="274">
        <f>C86</f>
        <v>7778.1498377949074</v>
      </c>
      <c r="D98" s="274">
        <f t="shared" ref="D98:V98" si="30">D86</f>
        <v>10792.908398418895</v>
      </c>
      <c r="E98" s="274">
        <f t="shared" si="30"/>
        <v>15038.856091055188</v>
      </c>
      <c r="F98" s="274">
        <f t="shared" si="30"/>
        <v>18160.505479115767</v>
      </c>
      <c r="G98" s="274">
        <f t="shared" si="30"/>
        <v>21341.037368088299</v>
      </c>
      <c r="H98" s="274">
        <f t="shared" si="30"/>
        <v>24583.043423212912</v>
      </c>
      <c r="I98" s="274">
        <f t="shared" si="30"/>
        <v>27887.770693494323</v>
      </c>
      <c r="J98" s="274">
        <f t="shared" si="30"/>
        <v>31256.394822063146</v>
      </c>
      <c r="K98" s="274">
        <f t="shared" si="30"/>
        <v>34690.014212588037</v>
      </c>
      <c r="L98" s="274">
        <f t="shared" si="30"/>
        <v>38189.643412767822</v>
      </c>
      <c r="M98" s="274">
        <f t="shared" si="30"/>
        <v>41757.921982988701</v>
      </c>
      <c r="N98" s="274">
        <f t="shared" si="30"/>
        <v>45397.595898052306</v>
      </c>
      <c r="O98" s="274">
        <f t="shared" si="30"/>
        <v>49111.520971752354</v>
      </c>
      <c r="P98" s="274">
        <f t="shared" si="30"/>
        <v>52902.667250434308</v>
      </c>
      <c r="Q98" s="274">
        <f t="shared" si="30"/>
        <v>56774.123582297434</v>
      </c>
      <c r="R98" s="274">
        <f t="shared" si="30"/>
        <v>58945.675420316446</v>
      </c>
      <c r="S98" s="274">
        <f t="shared" si="30"/>
        <v>61204.090611856212</v>
      </c>
      <c r="T98" s="274">
        <f t="shared" si="30"/>
        <v>63552.843691057569</v>
      </c>
      <c r="U98" s="274">
        <f t="shared" si="30"/>
        <v>65995.548173426985</v>
      </c>
      <c r="V98" s="274">
        <f t="shared" si="30"/>
        <v>68535.96211509117</v>
      </c>
    </row>
    <row r="99" spans="1:22" x14ac:dyDescent="0.2">
      <c r="A99" s="337" t="s">
        <v>570</v>
      </c>
      <c r="B99" s="337" t="str">
        <f>A89</f>
        <v>NPV (без учета продажи)</v>
      </c>
      <c r="C99" s="274">
        <f>C89</f>
        <v>7206.3166675817747</v>
      </c>
      <c r="D99" s="274">
        <f t="shared" ref="D99:V99" si="31">D89</f>
        <v>9603.8444530311317</v>
      </c>
      <c r="E99" s="274">
        <f t="shared" si="31"/>
        <v>12502.254498476155</v>
      </c>
      <c r="F99" s="274">
        <f t="shared" si="31"/>
        <v>14331.379493285714</v>
      </c>
      <c r="G99" s="274">
        <f t="shared" si="31"/>
        <v>15931.059401569995</v>
      </c>
      <c r="H99" s="274">
        <f t="shared" si="31"/>
        <v>17330.715150030144</v>
      </c>
      <c r="I99" s="274">
        <f t="shared" si="31"/>
        <v>18555.379594933747</v>
      </c>
      <c r="J99" s="274">
        <f t="shared" si="31"/>
        <v>19626.918921827932</v>
      </c>
      <c r="K99" s="274">
        <f t="shared" si="31"/>
        <v>20564.441611677001</v>
      </c>
      <c r="L99" s="274">
        <f t="shared" si="31"/>
        <v>21384.652897242104</v>
      </c>
      <c r="M99" s="274">
        <f t="shared" si="31"/>
        <v>22102.507576208343</v>
      </c>
      <c r="N99" s="274">
        <f t="shared" si="31"/>
        <v>22731.020676868484</v>
      </c>
      <c r="O99" s="274">
        <f t="shared" si="31"/>
        <v>23281.522891979464</v>
      </c>
      <c r="P99" s="274">
        <f t="shared" si="31"/>
        <v>23763.88207321044</v>
      </c>
      <c r="Q99" s="274">
        <f t="shared" si="31"/>
        <v>24186.695185552253</v>
      </c>
      <c r="R99" s="274">
        <f t="shared" si="31"/>
        <v>24390.267332987649</v>
      </c>
      <c r="S99" s="274">
        <f t="shared" si="31"/>
        <v>24571.997078332221</v>
      </c>
      <c r="T99" s="274">
        <f t="shared" si="31"/>
        <v>24734.228012372703</v>
      </c>
      <c r="U99" s="274">
        <f t="shared" si="31"/>
        <v>24879.052269723001</v>
      </c>
      <c r="V99" s="274">
        <f t="shared" si="31"/>
        <v>25008.337508807614</v>
      </c>
    </row>
    <row r="103" spans="1:22" x14ac:dyDescent="0.2">
      <c r="B103" s="338"/>
      <c r="C103" s="338"/>
      <c r="D103" s="338"/>
      <c r="E103" s="338"/>
      <c r="F103" s="338"/>
      <c r="G103" s="338"/>
      <c r="H103" s="338"/>
      <c r="I103" s="338"/>
      <c r="J103" s="338"/>
      <c r="K103" s="338"/>
      <c r="L103" s="338"/>
    </row>
  </sheetData>
  <mergeCells count="16">
    <mergeCell ref="A14:H14"/>
    <mergeCell ref="A6:H6"/>
    <mergeCell ref="A8:H8"/>
    <mergeCell ref="A10:H10"/>
    <mergeCell ref="A11:H11"/>
    <mergeCell ref="A13:H13"/>
    <mergeCell ref="D30:E30"/>
    <mergeCell ref="D31:E31"/>
    <mergeCell ref="A94:Z94"/>
    <mergeCell ref="A95:I95"/>
    <mergeCell ref="A16:H16"/>
    <mergeCell ref="A17:H17"/>
    <mergeCell ref="A19:H19"/>
    <mergeCell ref="D27:F27"/>
    <mergeCell ref="D28:F28"/>
    <mergeCell ref="D29:E29"/>
  </mergeCells>
  <pageMargins left="0.31496062992125984" right="0.11811023622047245" top="0.74803149606299213" bottom="0.35433070866141736" header="0.31496062992125984" footer="0.31496062992125984"/>
  <pageSetup paperSize="9" scale="4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J53" sqref="J53"/>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54" t="str">
        <f>'2. паспорт  ТП'!A4:S4</f>
        <v>Год раскрытия информации: 2019 год</v>
      </c>
      <c r="B5" s="354"/>
      <c r="C5" s="354"/>
      <c r="D5" s="354"/>
      <c r="E5" s="354"/>
      <c r="F5" s="354"/>
      <c r="G5" s="354"/>
      <c r="H5" s="354"/>
      <c r="I5" s="354"/>
      <c r="J5" s="354"/>
      <c r="K5" s="354"/>
      <c r="L5" s="354"/>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363" t="s">
        <v>7</v>
      </c>
      <c r="B7" s="363"/>
      <c r="C7" s="363"/>
      <c r="D7" s="363"/>
      <c r="E7" s="363"/>
      <c r="F7" s="363"/>
      <c r="G7" s="363"/>
      <c r="H7" s="363"/>
      <c r="I7" s="363"/>
      <c r="J7" s="363"/>
      <c r="K7" s="363"/>
      <c r="L7" s="363"/>
    </row>
    <row r="8" spans="1:44" ht="18.75" x14ac:dyDescent="0.25">
      <c r="A8" s="363"/>
      <c r="B8" s="363"/>
      <c r="C8" s="363"/>
      <c r="D8" s="363"/>
      <c r="E8" s="363"/>
      <c r="F8" s="363"/>
      <c r="G8" s="363"/>
      <c r="H8" s="363"/>
      <c r="I8" s="363"/>
      <c r="J8" s="363"/>
      <c r="K8" s="363"/>
      <c r="L8" s="363"/>
    </row>
    <row r="9" spans="1:44" x14ac:dyDescent="0.25">
      <c r="A9" s="364" t="str">
        <f>'1. паспорт местоположение'!A9:C9</f>
        <v>Акционерное общество "Янтарьэнерго" ДЗО  ПАО "Россети"</v>
      </c>
      <c r="B9" s="364"/>
      <c r="C9" s="364"/>
      <c r="D9" s="364"/>
      <c r="E9" s="364"/>
      <c r="F9" s="364"/>
      <c r="G9" s="364"/>
      <c r="H9" s="364"/>
      <c r="I9" s="364"/>
      <c r="J9" s="364"/>
      <c r="K9" s="364"/>
      <c r="L9" s="364"/>
    </row>
    <row r="10" spans="1:44" x14ac:dyDescent="0.25">
      <c r="A10" s="368" t="s">
        <v>6</v>
      </c>
      <c r="B10" s="368"/>
      <c r="C10" s="368"/>
      <c r="D10" s="368"/>
      <c r="E10" s="368"/>
      <c r="F10" s="368"/>
      <c r="G10" s="368"/>
      <c r="H10" s="368"/>
      <c r="I10" s="368"/>
      <c r="J10" s="368"/>
      <c r="K10" s="368"/>
      <c r="L10" s="368"/>
    </row>
    <row r="11" spans="1:44" ht="18.75" x14ac:dyDescent="0.25">
      <c r="A11" s="363"/>
      <c r="B11" s="363"/>
      <c r="C11" s="363"/>
      <c r="D11" s="363"/>
      <c r="E11" s="363"/>
      <c r="F11" s="363"/>
      <c r="G11" s="363"/>
      <c r="H11" s="363"/>
      <c r="I11" s="363"/>
      <c r="J11" s="363"/>
      <c r="K11" s="363"/>
      <c r="L11" s="363"/>
    </row>
    <row r="12" spans="1:44" x14ac:dyDescent="0.25">
      <c r="A12" s="364" t="str">
        <f>'1. паспорт местоположение'!A12:C12</f>
        <v>J_140-109</v>
      </c>
      <c r="B12" s="364"/>
      <c r="C12" s="364"/>
      <c r="D12" s="364"/>
      <c r="E12" s="364"/>
      <c r="F12" s="364"/>
      <c r="G12" s="364"/>
      <c r="H12" s="364"/>
      <c r="I12" s="364"/>
      <c r="J12" s="364"/>
      <c r="K12" s="364"/>
      <c r="L12" s="364"/>
    </row>
    <row r="13" spans="1:44" x14ac:dyDescent="0.25">
      <c r="A13" s="368" t="s">
        <v>5</v>
      </c>
      <c r="B13" s="368"/>
      <c r="C13" s="368"/>
      <c r="D13" s="368"/>
      <c r="E13" s="368"/>
      <c r="F13" s="368"/>
      <c r="G13" s="368"/>
      <c r="H13" s="368"/>
      <c r="I13" s="368"/>
      <c r="J13" s="368"/>
      <c r="K13" s="368"/>
      <c r="L13" s="368"/>
    </row>
    <row r="14" spans="1:44" ht="18.75" x14ac:dyDescent="0.25">
      <c r="A14" s="369"/>
      <c r="B14" s="369"/>
      <c r="C14" s="369"/>
      <c r="D14" s="369"/>
      <c r="E14" s="369"/>
      <c r="F14" s="369"/>
      <c r="G14" s="369"/>
      <c r="H14" s="369"/>
      <c r="I14" s="369"/>
      <c r="J14" s="369"/>
      <c r="K14" s="369"/>
      <c r="L14" s="369"/>
    </row>
    <row r="15" spans="1:44" x14ac:dyDescent="0.25">
      <c r="A15" s="364" t="str">
        <f>'1. паспорт местоположение'!A15</f>
        <v>Приобретение электросетевого комплекса ул.1-ая Большая окружная, с/т г.Калининград (дог.безв 3509 от 10.04.2019 гр. Щербанев В.М.)</v>
      </c>
      <c r="B15" s="364"/>
      <c r="C15" s="364"/>
      <c r="D15" s="364"/>
      <c r="E15" s="364"/>
      <c r="F15" s="364"/>
      <c r="G15" s="364"/>
      <c r="H15" s="364"/>
      <c r="I15" s="364"/>
      <c r="J15" s="364"/>
      <c r="K15" s="364"/>
      <c r="L15" s="364"/>
    </row>
    <row r="16" spans="1:44" x14ac:dyDescent="0.25">
      <c r="A16" s="368" t="s">
        <v>4</v>
      </c>
      <c r="B16" s="368"/>
      <c r="C16" s="368"/>
      <c r="D16" s="368"/>
      <c r="E16" s="368"/>
      <c r="F16" s="368"/>
      <c r="G16" s="368"/>
      <c r="H16" s="368"/>
      <c r="I16" s="368"/>
      <c r="J16" s="368"/>
      <c r="K16" s="368"/>
      <c r="L16" s="368"/>
    </row>
    <row r="17" spans="1:12" ht="15.75" customHeight="1" x14ac:dyDescent="0.25">
      <c r="L17" s="88"/>
    </row>
    <row r="18" spans="1:12" x14ac:dyDescent="0.25">
      <c r="K18" s="87"/>
    </row>
    <row r="19" spans="1:12" ht="15.75" customHeight="1" x14ac:dyDescent="0.25">
      <c r="A19" s="423" t="s">
        <v>472</v>
      </c>
      <c r="B19" s="423"/>
      <c r="C19" s="423"/>
      <c r="D19" s="423"/>
      <c r="E19" s="423"/>
      <c r="F19" s="423"/>
      <c r="G19" s="423"/>
      <c r="H19" s="423"/>
      <c r="I19" s="423"/>
      <c r="J19" s="423"/>
      <c r="K19" s="423"/>
      <c r="L19" s="423"/>
    </row>
    <row r="20" spans="1:12" x14ac:dyDescent="0.25">
      <c r="A20" s="61"/>
      <c r="B20" s="61"/>
      <c r="C20" s="86"/>
      <c r="D20" s="86"/>
      <c r="E20" s="86"/>
      <c r="F20" s="86"/>
      <c r="G20" s="86"/>
      <c r="H20" s="86"/>
      <c r="I20" s="86"/>
      <c r="J20" s="86"/>
      <c r="K20" s="86"/>
      <c r="L20" s="86"/>
    </row>
    <row r="21" spans="1:12" ht="28.5" customHeight="1" x14ac:dyDescent="0.25">
      <c r="A21" s="413" t="s">
        <v>216</v>
      </c>
      <c r="B21" s="413" t="s">
        <v>215</v>
      </c>
      <c r="C21" s="419" t="s">
        <v>404</v>
      </c>
      <c r="D21" s="419"/>
      <c r="E21" s="419"/>
      <c r="F21" s="419"/>
      <c r="G21" s="419"/>
      <c r="H21" s="419"/>
      <c r="I21" s="414" t="s">
        <v>214</v>
      </c>
      <c r="J21" s="416" t="s">
        <v>406</v>
      </c>
      <c r="K21" s="413" t="s">
        <v>213</v>
      </c>
      <c r="L21" s="415" t="s">
        <v>405</v>
      </c>
    </row>
    <row r="22" spans="1:12" ht="58.5" customHeight="1" x14ac:dyDescent="0.25">
      <c r="A22" s="413"/>
      <c r="B22" s="413"/>
      <c r="C22" s="420" t="s">
        <v>2</v>
      </c>
      <c r="D22" s="420"/>
      <c r="E22" s="421" t="s">
        <v>522</v>
      </c>
      <c r="F22" s="422"/>
      <c r="G22" s="421" t="s">
        <v>575</v>
      </c>
      <c r="H22" s="422"/>
      <c r="I22" s="414"/>
      <c r="J22" s="417"/>
      <c r="K22" s="413"/>
      <c r="L22" s="415"/>
    </row>
    <row r="23" spans="1:12" ht="31.5" x14ac:dyDescent="0.25">
      <c r="A23" s="413"/>
      <c r="B23" s="413"/>
      <c r="C23" s="85" t="s">
        <v>212</v>
      </c>
      <c r="D23" s="85" t="s">
        <v>211</v>
      </c>
      <c r="E23" s="85" t="s">
        <v>212</v>
      </c>
      <c r="F23" s="85" t="s">
        <v>211</v>
      </c>
      <c r="G23" s="85" t="s">
        <v>212</v>
      </c>
      <c r="H23" s="85" t="s">
        <v>211</v>
      </c>
      <c r="I23" s="414"/>
      <c r="J23" s="418"/>
      <c r="K23" s="413"/>
      <c r="L23" s="415"/>
    </row>
    <row r="24" spans="1:12" x14ac:dyDescent="0.25">
      <c r="A24" s="67">
        <v>1</v>
      </c>
      <c r="B24" s="67">
        <v>2</v>
      </c>
      <c r="C24" s="85">
        <v>3</v>
      </c>
      <c r="D24" s="85">
        <v>4</v>
      </c>
      <c r="E24" s="85">
        <v>5</v>
      </c>
      <c r="F24" s="85">
        <v>6</v>
      </c>
      <c r="G24" s="85">
        <v>7</v>
      </c>
      <c r="H24" s="85">
        <v>8</v>
      </c>
      <c r="I24" s="85">
        <v>9</v>
      </c>
      <c r="J24" s="85">
        <v>10</v>
      </c>
      <c r="K24" s="85">
        <v>11</v>
      </c>
      <c r="L24" s="85">
        <v>12</v>
      </c>
    </row>
    <row r="25" spans="1:12" x14ac:dyDescent="0.25">
      <c r="A25" s="80">
        <v>1</v>
      </c>
      <c r="B25" s="81" t="s">
        <v>210</v>
      </c>
      <c r="C25" s="81"/>
      <c r="D25" s="83"/>
      <c r="E25" s="83"/>
      <c r="F25" s="83"/>
      <c r="G25" s="83"/>
      <c r="H25" s="83"/>
      <c r="I25" s="83"/>
      <c r="J25" s="83"/>
      <c r="K25" s="78"/>
      <c r="L25" s="97"/>
    </row>
    <row r="26" spans="1:12" ht="21.75" customHeight="1" x14ac:dyDescent="0.25">
      <c r="A26" s="80" t="s">
        <v>209</v>
      </c>
      <c r="B26" s="84" t="s">
        <v>411</v>
      </c>
      <c r="C26" s="215" t="s">
        <v>515</v>
      </c>
      <c r="D26" s="216" t="s">
        <v>515</v>
      </c>
      <c r="E26" s="217" t="s">
        <v>507</v>
      </c>
      <c r="F26" s="217" t="s">
        <v>507</v>
      </c>
      <c r="G26" s="217" t="s">
        <v>507</v>
      </c>
      <c r="H26" s="217" t="s">
        <v>507</v>
      </c>
      <c r="I26" s="217"/>
      <c r="J26" s="217"/>
      <c r="K26" s="78"/>
      <c r="L26" s="78"/>
    </row>
    <row r="27" spans="1:12" s="63" customFormat="1" ht="39" customHeight="1" x14ac:dyDescent="0.25">
      <c r="A27" s="80" t="s">
        <v>208</v>
      </c>
      <c r="B27" s="84" t="s">
        <v>413</v>
      </c>
      <c r="C27" s="215" t="s">
        <v>515</v>
      </c>
      <c r="D27" s="216" t="s">
        <v>515</v>
      </c>
      <c r="E27" s="217" t="s">
        <v>507</v>
      </c>
      <c r="F27" s="217" t="s">
        <v>507</v>
      </c>
      <c r="G27" s="217" t="s">
        <v>507</v>
      </c>
      <c r="H27" s="217" t="s">
        <v>507</v>
      </c>
      <c r="I27" s="217"/>
      <c r="J27" s="217"/>
      <c r="K27" s="78"/>
      <c r="L27" s="78"/>
    </row>
    <row r="28" spans="1:12" s="63" customFormat="1" ht="70.5" customHeight="1" x14ac:dyDescent="0.25">
      <c r="A28" s="80" t="s">
        <v>412</v>
      </c>
      <c r="B28" s="84" t="s">
        <v>417</v>
      </c>
      <c r="C28" s="215" t="s">
        <v>515</v>
      </c>
      <c r="D28" s="216" t="s">
        <v>515</v>
      </c>
      <c r="E28" s="217" t="s">
        <v>507</v>
      </c>
      <c r="F28" s="217" t="s">
        <v>507</v>
      </c>
      <c r="G28" s="217" t="s">
        <v>507</v>
      </c>
      <c r="H28" s="217" t="s">
        <v>507</v>
      </c>
      <c r="I28" s="217"/>
      <c r="J28" s="217"/>
      <c r="K28" s="78"/>
      <c r="L28" s="78"/>
    </row>
    <row r="29" spans="1:12" s="63" customFormat="1" ht="54" customHeight="1" x14ac:dyDescent="0.25">
      <c r="A29" s="80" t="s">
        <v>207</v>
      </c>
      <c r="B29" s="84" t="s">
        <v>416</v>
      </c>
      <c r="C29" s="215" t="s">
        <v>515</v>
      </c>
      <c r="D29" s="216" t="s">
        <v>515</v>
      </c>
      <c r="E29" s="217" t="s">
        <v>507</v>
      </c>
      <c r="F29" s="217" t="s">
        <v>507</v>
      </c>
      <c r="G29" s="217" t="s">
        <v>507</v>
      </c>
      <c r="H29" s="217" t="s">
        <v>507</v>
      </c>
      <c r="I29" s="217"/>
      <c r="J29" s="217"/>
      <c r="K29" s="78"/>
      <c r="L29" s="78"/>
    </row>
    <row r="30" spans="1:12" s="63" customFormat="1" ht="42" customHeight="1" x14ac:dyDescent="0.25">
      <c r="A30" s="80" t="s">
        <v>206</v>
      </c>
      <c r="B30" s="84" t="s">
        <v>418</v>
      </c>
      <c r="C30" s="215" t="s">
        <v>515</v>
      </c>
      <c r="D30" s="216" t="s">
        <v>515</v>
      </c>
      <c r="E30" s="217" t="s">
        <v>507</v>
      </c>
      <c r="F30" s="217" t="s">
        <v>507</v>
      </c>
      <c r="G30" s="217" t="s">
        <v>507</v>
      </c>
      <c r="H30" s="217" t="s">
        <v>507</v>
      </c>
      <c r="I30" s="217"/>
      <c r="J30" s="217"/>
      <c r="K30" s="78"/>
      <c r="L30" s="78"/>
    </row>
    <row r="31" spans="1:12" s="63" customFormat="1" ht="37.5" customHeight="1" x14ac:dyDescent="0.25">
      <c r="A31" s="80" t="s">
        <v>205</v>
      </c>
      <c r="B31" s="79" t="s">
        <v>414</v>
      </c>
      <c r="C31" s="215" t="s">
        <v>515</v>
      </c>
      <c r="D31" s="216" t="s">
        <v>515</v>
      </c>
      <c r="E31" s="217" t="s">
        <v>507</v>
      </c>
      <c r="F31" s="217" t="s">
        <v>507</v>
      </c>
      <c r="G31" s="217" t="s">
        <v>507</v>
      </c>
      <c r="H31" s="217" t="s">
        <v>507</v>
      </c>
      <c r="I31" s="217"/>
      <c r="J31" s="217"/>
      <c r="K31" s="78"/>
      <c r="L31" s="78"/>
    </row>
    <row r="32" spans="1:12" s="63" customFormat="1" ht="31.5" x14ac:dyDescent="0.25">
      <c r="A32" s="80" t="s">
        <v>203</v>
      </c>
      <c r="B32" s="79" t="s">
        <v>419</v>
      </c>
      <c r="C32" s="215" t="s">
        <v>515</v>
      </c>
      <c r="D32" s="216" t="s">
        <v>515</v>
      </c>
      <c r="E32" s="217" t="s">
        <v>507</v>
      </c>
      <c r="F32" s="217" t="s">
        <v>507</v>
      </c>
      <c r="G32" s="217" t="s">
        <v>507</v>
      </c>
      <c r="H32" s="217" t="s">
        <v>507</v>
      </c>
      <c r="I32" s="217"/>
      <c r="J32" s="217"/>
      <c r="K32" s="78"/>
      <c r="L32" s="78"/>
    </row>
    <row r="33" spans="1:12" s="63" customFormat="1" ht="37.5" customHeight="1" x14ac:dyDescent="0.25">
      <c r="A33" s="80" t="s">
        <v>430</v>
      </c>
      <c r="B33" s="79" t="s">
        <v>348</v>
      </c>
      <c r="C33" s="215" t="s">
        <v>515</v>
      </c>
      <c r="D33" s="216" t="s">
        <v>515</v>
      </c>
      <c r="E33" s="217" t="s">
        <v>507</v>
      </c>
      <c r="F33" s="217" t="s">
        <v>507</v>
      </c>
      <c r="G33" s="217" t="s">
        <v>507</v>
      </c>
      <c r="H33" s="217" t="s">
        <v>507</v>
      </c>
      <c r="I33" s="217"/>
      <c r="J33" s="217"/>
      <c r="K33" s="78"/>
      <c r="L33" s="78"/>
    </row>
    <row r="34" spans="1:12" s="63" customFormat="1" ht="47.25" customHeight="1" x14ac:dyDescent="0.25">
      <c r="A34" s="80" t="s">
        <v>431</v>
      </c>
      <c r="B34" s="79" t="s">
        <v>423</v>
      </c>
      <c r="C34" s="215" t="s">
        <v>515</v>
      </c>
      <c r="D34" s="216" t="s">
        <v>515</v>
      </c>
      <c r="E34" s="217" t="s">
        <v>507</v>
      </c>
      <c r="F34" s="217" t="s">
        <v>507</v>
      </c>
      <c r="G34" s="217" t="s">
        <v>507</v>
      </c>
      <c r="H34" s="217" t="s">
        <v>507</v>
      </c>
      <c r="I34" s="217"/>
      <c r="J34" s="217"/>
      <c r="K34" s="82"/>
      <c r="L34" s="78"/>
    </row>
    <row r="35" spans="1:12" s="63" customFormat="1" ht="49.5" customHeight="1" x14ac:dyDescent="0.25">
      <c r="A35" s="80" t="s">
        <v>432</v>
      </c>
      <c r="B35" s="79" t="s">
        <v>204</v>
      </c>
      <c r="C35" s="215" t="s">
        <v>515</v>
      </c>
      <c r="D35" s="216" t="s">
        <v>515</v>
      </c>
      <c r="E35" s="217" t="s">
        <v>507</v>
      </c>
      <c r="F35" s="217" t="s">
        <v>507</v>
      </c>
      <c r="G35" s="217" t="s">
        <v>507</v>
      </c>
      <c r="H35" s="217" t="s">
        <v>507</v>
      </c>
      <c r="I35" s="217"/>
      <c r="J35" s="217"/>
      <c r="K35" s="82"/>
      <c r="L35" s="78"/>
    </row>
    <row r="36" spans="1:12" ht="37.5" customHeight="1" x14ac:dyDescent="0.25">
      <c r="A36" s="80" t="s">
        <v>433</v>
      </c>
      <c r="B36" s="79" t="s">
        <v>415</v>
      </c>
      <c r="C36" s="215" t="s">
        <v>515</v>
      </c>
      <c r="D36" s="219" t="s">
        <v>515</v>
      </c>
      <c r="E36" s="217" t="s">
        <v>507</v>
      </c>
      <c r="F36" s="217" t="s">
        <v>507</v>
      </c>
      <c r="G36" s="217" t="s">
        <v>507</v>
      </c>
      <c r="H36" s="217" t="s">
        <v>507</v>
      </c>
      <c r="I36" s="217"/>
      <c r="J36" s="217"/>
      <c r="K36" s="78"/>
      <c r="L36" s="78"/>
    </row>
    <row r="37" spans="1:12" x14ac:dyDescent="0.25">
      <c r="A37" s="80" t="s">
        <v>434</v>
      </c>
      <c r="B37" s="79" t="s">
        <v>202</v>
      </c>
      <c r="C37" s="215" t="s">
        <v>515</v>
      </c>
      <c r="D37" s="219" t="s">
        <v>515</v>
      </c>
      <c r="E37" s="217" t="s">
        <v>507</v>
      </c>
      <c r="F37" s="217" t="s">
        <v>507</v>
      </c>
      <c r="G37" s="217" t="s">
        <v>507</v>
      </c>
      <c r="H37" s="217" t="s">
        <v>507</v>
      </c>
      <c r="I37" s="217"/>
      <c r="J37" s="217"/>
      <c r="K37" s="78"/>
      <c r="L37" s="78"/>
    </row>
    <row r="38" spans="1:12" x14ac:dyDescent="0.25">
      <c r="A38" s="80" t="s">
        <v>435</v>
      </c>
      <c r="B38" s="81" t="s">
        <v>201</v>
      </c>
      <c r="C38" s="215"/>
      <c r="D38" s="219"/>
      <c r="E38" s="217"/>
      <c r="F38" s="221"/>
      <c r="G38" s="217"/>
      <c r="H38" s="221"/>
      <c r="I38" s="220"/>
      <c r="J38" s="220"/>
      <c r="K38" s="78"/>
      <c r="L38" s="78"/>
    </row>
    <row r="39" spans="1:12" ht="63" x14ac:dyDescent="0.25">
      <c r="A39" s="80">
        <v>2</v>
      </c>
      <c r="B39" s="79" t="s">
        <v>420</v>
      </c>
      <c r="C39" s="222" t="s">
        <v>515</v>
      </c>
      <c r="D39" s="219" t="s">
        <v>515</v>
      </c>
      <c r="E39" s="217" t="s">
        <v>507</v>
      </c>
      <c r="F39" s="217" t="s">
        <v>507</v>
      </c>
      <c r="G39" s="217" t="s">
        <v>507</v>
      </c>
      <c r="H39" s="217" t="s">
        <v>507</v>
      </c>
      <c r="I39" s="217"/>
      <c r="J39" s="217"/>
      <c r="K39" s="78"/>
      <c r="L39" s="78"/>
    </row>
    <row r="40" spans="1:12" ht="33.75" customHeight="1" x14ac:dyDescent="0.25">
      <c r="A40" s="80" t="s">
        <v>200</v>
      </c>
      <c r="B40" s="79" t="s">
        <v>422</v>
      </c>
      <c r="C40" s="215" t="s">
        <v>515</v>
      </c>
      <c r="D40" s="219" t="s">
        <v>515</v>
      </c>
      <c r="E40" s="218" t="s">
        <v>507</v>
      </c>
      <c r="F40" s="218" t="s">
        <v>507</v>
      </c>
      <c r="G40" s="218" t="s">
        <v>507</v>
      </c>
      <c r="H40" s="218" t="s">
        <v>507</v>
      </c>
      <c r="I40" s="217"/>
      <c r="J40" s="217"/>
      <c r="K40" s="78"/>
      <c r="L40" s="78"/>
    </row>
    <row r="41" spans="1:12" ht="63" customHeight="1" x14ac:dyDescent="0.25">
      <c r="A41" s="80" t="s">
        <v>199</v>
      </c>
      <c r="B41" s="81" t="s">
        <v>502</v>
      </c>
      <c r="C41" s="215"/>
      <c r="D41" s="219"/>
      <c r="E41" s="218"/>
      <c r="F41" s="218"/>
      <c r="G41" s="218"/>
      <c r="H41" s="218"/>
      <c r="I41" s="196"/>
      <c r="J41" s="196"/>
      <c r="K41" s="78"/>
      <c r="L41" s="78"/>
    </row>
    <row r="42" spans="1:12" ht="58.5" customHeight="1" x14ac:dyDescent="0.25">
      <c r="A42" s="80">
        <v>3</v>
      </c>
      <c r="B42" s="79" t="s">
        <v>421</v>
      </c>
      <c r="C42" s="222" t="s">
        <v>515</v>
      </c>
      <c r="D42" s="219" t="s">
        <v>515</v>
      </c>
      <c r="E42" s="217" t="s">
        <v>507</v>
      </c>
      <c r="F42" s="217" t="s">
        <v>507</v>
      </c>
      <c r="G42" s="217" t="s">
        <v>507</v>
      </c>
      <c r="H42" s="217" t="s">
        <v>507</v>
      </c>
      <c r="I42" s="217"/>
      <c r="J42" s="217"/>
      <c r="K42" s="78"/>
      <c r="L42" s="78"/>
    </row>
    <row r="43" spans="1:12" ht="34.5" customHeight="1" x14ac:dyDescent="0.25">
      <c r="A43" s="80" t="s">
        <v>198</v>
      </c>
      <c r="B43" s="79" t="s">
        <v>196</v>
      </c>
      <c r="C43" s="215" t="s">
        <v>515</v>
      </c>
      <c r="D43" s="219" t="s">
        <v>515</v>
      </c>
      <c r="E43" s="217" t="s">
        <v>507</v>
      </c>
      <c r="F43" s="217" t="s">
        <v>507</v>
      </c>
      <c r="G43" s="217" t="s">
        <v>507</v>
      </c>
      <c r="H43" s="217" t="s">
        <v>507</v>
      </c>
      <c r="I43" s="217"/>
      <c r="J43" s="217"/>
      <c r="K43" s="78"/>
      <c r="L43" s="78"/>
    </row>
    <row r="44" spans="1:12" ht="24.75" customHeight="1" x14ac:dyDescent="0.25">
      <c r="A44" s="80" t="s">
        <v>197</v>
      </c>
      <c r="B44" s="79" t="s">
        <v>194</v>
      </c>
      <c r="C44" s="215" t="s">
        <v>515</v>
      </c>
      <c r="D44" s="219" t="s">
        <v>515</v>
      </c>
      <c r="E44" s="217" t="s">
        <v>507</v>
      </c>
      <c r="F44" s="217" t="s">
        <v>507</v>
      </c>
      <c r="G44" s="217" t="s">
        <v>507</v>
      </c>
      <c r="H44" s="217" t="s">
        <v>507</v>
      </c>
      <c r="I44" s="217"/>
      <c r="J44" s="217"/>
      <c r="K44" s="78"/>
      <c r="L44" s="78"/>
    </row>
    <row r="45" spans="1:12" ht="90.75" customHeight="1" x14ac:dyDescent="0.25">
      <c r="A45" s="80" t="s">
        <v>195</v>
      </c>
      <c r="B45" s="79" t="s">
        <v>426</v>
      </c>
      <c r="C45" s="215" t="s">
        <v>515</v>
      </c>
      <c r="D45" s="219" t="s">
        <v>515</v>
      </c>
      <c r="E45" s="218" t="s">
        <v>507</v>
      </c>
      <c r="F45" s="218" t="s">
        <v>507</v>
      </c>
      <c r="G45" s="218" t="s">
        <v>507</v>
      </c>
      <c r="H45" s="218" t="s">
        <v>507</v>
      </c>
      <c r="I45" s="217"/>
      <c r="J45" s="217"/>
      <c r="K45" s="78"/>
      <c r="L45" s="78"/>
    </row>
    <row r="46" spans="1:12" ht="167.25" customHeight="1" x14ac:dyDescent="0.25">
      <c r="A46" s="80" t="s">
        <v>193</v>
      </c>
      <c r="B46" s="79" t="s">
        <v>424</v>
      </c>
      <c r="C46" s="215" t="s">
        <v>515</v>
      </c>
      <c r="D46" s="219" t="s">
        <v>515</v>
      </c>
      <c r="E46" s="218" t="s">
        <v>507</v>
      </c>
      <c r="F46" s="218" t="s">
        <v>507</v>
      </c>
      <c r="G46" s="218" t="s">
        <v>507</v>
      </c>
      <c r="H46" s="218" t="s">
        <v>507</v>
      </c>
      <c r="I46" s="217"/>
      <c r="J46" s="217"/>
      <c r="K46" s="78"/>
      <c r="L46" s="78"/>
    </row>
    <row r="47" spans="1:12" ht="30.75" customHeight="1" x14ac:dyDescent="0.25">
      <c r="A47" s="80" t="s">
        <v>191</v>
      </c>
      <c r="B47" s="79" t="s">
        <v>192</v>
      </c>
      <c r="C47" s="215" t="s">
        <v>515</v>
      </c>
      <c r="D47" s="219" t="s">
        <v>515</v>
      </c>
      <c r="E47" s="217" t="s">
        <v>507</v>
      </c>
      <c r="F47" s="217" t="s">
        <v>507</v>
      </c>
      <c r="G47" s="217" t="s">
        <v>507</v>
      </c>
      <c r="H47" s="217" t="s">
        <v>507</v>
      </c>
      <c r="I47" s="217"/>
      <c r="J47" s="217"/>
      <c r="K47" s="78"/>
      <c r="L47" s="78"/>
    </row>
    <row r="48" spans="1:12" ht="37.5" customHeight="1" x14ac:dyDescent="0.25">
      <c r="A48" s="80" t="s">
        <v>436</v>
      </c>
      <c r="B48" s="81" t="s">
        <v>190</v>
      </c>
      <c r="C48" s="215"/>
      <c r="D48" s="219"/>
      <c r="E48" s="218"/>
      <c r="F48" s="223"/>
      <c r="G48" s="218"/>
      <c r="H48" s="223"/>
      <c r="I48" s="196"/>
      <c r="J48" s="196"/>
      <c r="K48" s="78"/>
      <c r="L48" s="78"/>
    </row>
    <row r="49" spans="1:12" ht="35.25" customHeight="1" x14ac:dyDescent="0.25">
      <c r="A49" s="80">
        <v>4</v>
      </c>
      <c r="B49" s="79" t="s">
        <v>188</v>
      </c>
      <c r="C49" s="222" t="s">
        <v>515</v>
      </c>
      <c r="D49" s="219" t="s">
        <v>515</v>
      </c>
      <c r="E49" s="217" t="s">
        <v>507</v>
      </c>
      <c r="F49" s="217" t="s">
        <v>507</v>
      </c>
      <c r="G49" s="217" t="s">
        <v>507</v>
      </c>
      <c r="H49" s="217" t="s">
        <v>507</v>
      </c>
      <c r="I49" s="217"/>
      <c r="J49" s="217"/>
      <c r="K49" s="78"/>
      <c r="L49" s="78"/>
    </row>
    <row r="50" spans="1:12" ht="86.25" customHeight="1" x14ac:dyDescent="0.25">
      <c r="A50" s="80" t="s">
        <v>189</v>
      </c>
      <c r="B50" s="79" t="s">
        <v>425</v>
      </c>
      <c r="C50" s="222" t="s">
        <v>515</v>
      </c>
      <c r="D50" s="219" t="s">
        <v>515</v>
      </c>
      <c r="E50" s="217" t="s">
        <v>507</v>
      </c>
      <c r="F50" s="217" t="s">
        <v>507</v>
      </c>
      <c r="G50" s="217" t="s">
        <v>507</v>
      </c>
      <c r="H50" s="217" t="s">
        <v>507</v>
      </c>
      <c r="I50" s="217"/>
      <c r="J50" s="217"/>
      <c r="K50" s="78"/>
      <c r="L50" s="78"/>
    </row>
    <row r="51" spans="1:12" ht="77.25" customHeight="1" x14ac:dyDescent="0.25">
      <c r="A51" s="80" t="s">
        <v>187</v>
      </c>
      <c r="B51" s="79" t="s">
        <v>427</v>
      </c>
      <c r="C51" s="215" t="s">
        <v>515</v>
      </c>
      <c r="D51" s="219" t="s">
        <v>515</v>
      </c>
      <c r="E51" s="217" t="s">
        <v>507</v>
      </c>
      <c r="F51" s="217" t="s">
        <v>507</v>
      </c>
      <c r="G51" s="217" t="s">
        <v>507</v>
      </c>
      <c r="H51" s="217" t="s">
        <v>507</v>
      </c>
      <c r="I51" s="217"/>
      <c r="J51" s="217"/>
      <c r="K51" s="78"/>
      <c r="L51" s="78"/>
    </row>
    <row r="52" spans="1:12" ht="71.25" customHeight="1" x14ac:dyDescent="0.25">
      <c r="A52" s="80" t="s">
        <v>185</v>
      </c>
      <c r="B52" s="79" t="s">
        <v>186</v>
      </c>
      <c r="C52" s="215" t="s">
        <v>515</v>
      </c>
      <c r="D52" s="219" t="s">
        <v>515</v>
      </c>
      <c r="E52" s="217" t="s">
        <v>507</v>
      </c>
      <c r="F52" s="217" t="s">
        <v>507</v>
      </c>
      <c r="G52" s="217" t="s">
        <v>507</v>
      </c>
      <c r="H52" s="217" t="s">
        <v>507</v>
      </c>
      <c r="I52" s="217"/>
      <c r="J52" s="217"/>
      <c r="K52" s="78"/>
      <c r="L52" s="78"/>
    </row>
    <row r="53" spans="1:12" ht="48" customHeight="1" x14ac:dyDescent="0.25">
      <c r="A53" s="80" t="s">
        <v>183</v>
      </c>
      <c r="B53" s="139" t="s">
        <v>428</v>
      </c>
      <c r="C53" s="215" t="s">
        <v>515</v>
      </c>
      <c r="D53" s="219" t="s">
        <v>515</v>
      </c>
      <c r="E53" s="257">
        <v>43565</v>
      </c>
      <c r="F53" s="257">
        <v>43565</v>
      </c>
      <c r="G53" s="257">
        <v>43496</v>
      </c>
      <c r="H53" s="257">
        <v>43496</v>
      </c>
      <c r="I53" s="219">
        <v>100</v>
      </c>
      <c r="J53" s="219"/>
      <c r="K53" s="78"/>
      <c r="L53" s="78"/>
    </row>
    <row r="54" spans="1:12" ht="46.5" customHeight="1" x14ac:dyDescent="0.25">
      <c r="A54" s="80" t="s">
        <v>429</v>
      </c>
      <c r="B54" s="79" t="s">
        <v>184</v>
      </c>
      <c r="C54" s="215" t="s">
        <v>515</v>
      </c>
      <c r="D54" s="219" t="s">
        <v>515</v>
      </c>
      <c r="E54" s="217" t="s">
        <v>507</v>
      </c>
      <c r="F54" s="217" t="s">
        <v>507</v>
      </c>
      <c r="G54" s="217" t="s">
        <v>507</v>
      </c>
      <c r="H54" s="217" t="s">
        <v>507</v>
      </c>
      <c r="I54" s="217"/>
      <c r="J54" s="217"/>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2019-11-08T09:14:22Z</dcterms:modified>
</cp:coreProperties>
</file>