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15" state="hidden" r:id="rId10"/>
    <sheet name="6.2. Паспорт фин осв ввод"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0">[1]группаИП!$A$7:$A$49</definedName>
    <definedName name="список" localSheetId="12">[2]группаИП!$A$7:$A$49</definedName>
    <definedName name="список">группаИП!$A$7:$A$49</definedName>
    <definedName name="список1" localSheetId="10">[1]цели!$A$1:$A$7</definedName>
    <definedName name="список1" localSheetId="12">[2]цели!$A$1:$A$7</definedName>
    <definedName name="список1">цели!$A$1:$A$7</definedName>
    <definedName name="список2" localSheetId="10">[1]МО!$A$1:$A$22</definedName>
    <definedName name="список2" localSheetId="12">[2]МО!$A$1:$A$22</definedName>
    <definedName name="список2">МО!$A$1:$A$22</definedName>
    <definedName name="список5" localSheetId="10">'[1]список 5'!$A$1:$A$2</definedName>
    <definedName name="список5" localSheetId="12">'[2]список 5'!$A$1:$A$2</definedName>
    <definedName name="список5">'список 5'!$A$1:$A$2</definedName>
    <definedName name="список6" localSheetId="10">'[1]список 5'!$A$1:$A$3</definedName>
    <definedName name="список6" localSheetId="12">'[2]список 5'!$A$1:$A$3</definedName>
    <definedName name="список6">'список 5'!$A$1:$A$3</definedName>
    <definedName name="список7" localSheetId="10">[1]список7!$A$1:$A$3</definedName>
    <definedName name="список7" localSheetId="12">[2]список7!$A$1:$A$3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E24" i="54" l="1"/>
  <c r="F26" i="54" l="1"/>
  <c r="F27" i="54"/>
  <c r="F28" i="54"/>
  <c r="F29" i="54"/>
  <c r="F30" i="54"/>
  <c r="F31" i="54"/>
  <c r="F32" i="54"/>
  <c r="F33" i="54"/>
  <c r="F34" i="54"/>
  <c r="F35" i="54"/>
  <c r="F36" i="54"/>
  <c r="F37" i="54"/>
  <c r="F38" i="54"/>
  <c r="F39" i="54"/>
  <c r="F40" i="54"/>
  <c r="F41" i="54"/>
  <c r="F42" i="54"/>
  <c r="F43" i="54"/>
  <c r="F44" i="54"/>
  <c r="F45" i="54"/>
  <c r="F46" i="54"/>
  <c r="F47" i="54"/>
  <c r="F48" i="54"/>
  <c r="F49" i="54"/>
  <c r="F50" i="54"/>
  <c r="F51" i="54"/>
  <c r="F52" i="54"/>
  <c r="F53" i="54"/>
  <c r="F54" i="54"/>
  <c r="F55" i="54"/>
  <c r="F56" i="54"/>
  <c r="F57" i="54"/>
  <c r="F58" i="54"/>
  <c r="F59" i="54"/>
  <c r="F60" i="54"/>
  <c r="F61" i="54"/>
  <c r="F62" i="54"/>
  <c r="F63" i="54"/>
  <c r="F64" i="54"/>
  <c r="F25" i="54"/>
  <c r="G26" i="54" l="1"/>
  <c r="G27" i="54"/>
  <c r="G28" i="54"/>
  <c r="G29" i="54"/>
  <c r="G25" i="54"/>
  <c r="O52" i="54" l="1"/>
  <c r="C24" i="54" l="1"/>
  <c r="D24" i="54"/>
  <c r="F24" i="54"/>
  <c r="H24" i="54"/>
  <c r="I24" i="54"/>
  <c r="J24" i="54"/>
  <c r="K24" i="54"/>
  <c r="L24" i="54"/>
  <c r="M24" i="54"/>
  <c r="N24" i="54"/>
  <c r="O24" i="54"/>
  <c r="P24" i="54"/>
  <c r="Q24" i="54"/>
  <c r="R24" i="54"/>
  <c r="S24" i="54"/>
  <c r="T24" i="54"/>
  <c r="U24" i="54"/>
  <c r="V24" i="54"/>
  <c r="W24" i="54"/>
  <c r="X24" i="54"/>
  <c r="Y24" i="54"/>
  <c r="Z24" i="54"/>
  <c r="AA24" i="54"/>
  <c r="G24" i="54"/>
  <c r="B22" i="53" l="1"/>
  <c r="B50" i="52" l="1"/>
  <c r="C48" i="52"/>
  <c r="D48" i="52"/>
  <c r="E48" i="52"/>
  <c r="F48" i="52"/>
  <c r="G48" i="52"/>
  <c r="H48" i="52"/>
  <c r="I48" i="52"/>
  <c r="J48" i="52"/>
  <c r="K48" i="52"/>
  <c r="L48" i="52"/>
  <c r="M48" i="52"/>
  <c r="N48" i="52"/>
  <c r="B49" i="52"/>
  <c r="B48" i="52"/>
  <c r="B122" i="52"/>
  <c r="B73" i="52" s="1"/>
  <c r="B25" i="52"/>
  <c r="B29" i="52" s="1"/>
  <c r="R30" i="14" l="1"/>
  <c r="L40" i="5" l="1"/>
  <c r="L35" i="5"/>
  <c r="L30" i="5"/>
  <c r="L29" i="5"/>
  <c r="L27" i="5"/>
  <c r="F25" i="15" l="1"/>
  <c r="F26" i="15"/>
  <c r="F27" i="15"/>
  <c r="F28" i="15"/>
  <c r="F29" i="15"/>
  <c r="E24" i="15"/>
  <c r="AB24" i="54"/>
  <c r="E81" i="52"/>
  <c r="D81" i="52"/>
  <c r="C81" i="52"/>
  <c r="B81" i="52"/>
  <c r="A5" i="52"/>
  <c r="D67" i="52" l="1"/>
  <c r="AO25" i="54"/>
  <c r="AP25" i="54"/>
  <c r="AO26" i="54"/>
  <c r="AP26" i="54"/>
  <c r="AO27" i="54"/>
  <c r="AP27" i="54"/>
  <c r="AO28" i="54"/>
  <c r="AP28" i="54"/>
  <c r="AO29" i="54"/>
  <c r="AP29" i="54"/>
  <c r="AO30" i="54"/>
  <c r="AP30" i="54"/>
  <c r="C51" i="7" s="1"/>
  <c r="AP31" i="54"/>
  <c r="AP32" i="54"/>
  <c r="AP33" i="54"/>
  <c r="AP34" i="54"/>
  <c r="AP35" i="54"/>
  <c r="AP36" i="54"/>
  <c r="AP37" i="54"/>
  <c r="AP38" i="54"/>
  <c r="AP39" i="54"/>
  <c r="AP40" i="54"/>
  <c r="AP41" i="54"/>
  <c r="AP42" i="54"/>
  <c r="AP43" i="54"/>
  <c r="AP44" i="54"/>
  <c r="AP45" i="54"/>
  <c r="AP46" i="54"/>
  <c r="AP47" i="54"/>
  <c r="AP48" i="54"/>
  <c r="AP49" i="54"/>
  <c r="AP50" i="54"/>
  <c r="AP51" i="54"/>
  <c r="AP53" i="54"/>
  <c r="AP54" i="54"/>
  <c r="AP55" i="54"/>
  <c r="AP56" i="54"/>
  <c r="AP57" i="54"/>
  <c r="AP58" i="54"/>
  <c r="AP59" i="54"/>
  <c r="AP60" i="54"/>
  <c r="AP61" i="54"/>
  <c r="AP62" i="54"/>
  <c r="AP63" i="54"/>
  <c r="AP64" i="54"/>
  <c r="AO24" i="54" l="1"/>
  <c r="A9" i="52"/>
  <c r="AP52" i="54" l="1"/>
  <c r="B97" i="53"/>
  <c r="D56" i="15" l="1"/>
  <c r="D54" i="15"/>
  <c r="AO64" i="54" l="1"/>
  <c r="AO63" i="54"/>
  <c r="AO62" i="54"/>
  <c r="AO61" i="54"/>
  <c r="AO60" i="54"/>
  <c r="AO59" i="54"/>
  <c r="AO58" i="54"/>
  <c r="AO57" i="54"/>
  <c r="AO56" i="54"/>
  <c r="AO55" i="54"/>
  <c r="AO54" i="54"/>
  <c r="AO53" i="54"/>
  <c r="AO52" i="54"/>
  <c r="AO51" i="54"/>
  <c r="AO50" i="54"/>
  <c r="AO49" i="54"/>
  <c r="AO48" i="54"/>
  <c r="AO47" i="54"/>
  <c r="AO46" i="54"/>
  <c r="AO45" i="54"/>
  <c r="AO44" i="54"/>
  <c r="AO43" i="54"/>
  <c r="AO42" i="54"/>
  <c r="AO41" i="54"/>
  <c r="AO40" i="54"/>
  <c r="AO39" i="54"/>
  <c r="AO38" i="54"/>
  <c r="AO37" i="54"/>
  <c r="AO36" i="54"/>
  <c r="AO35" i="54"/>
  <c r="AO34" i="54"/>
  <c r="AO33" i="54"/>
  <c r="AO32" i="54"/>
  <c r="AO31" i="54"/>
  <c r="AL24" i="54"/>
  <c r="AK24" i="54"/>
  <c r="AH24" i="54"/>
  <c r="AG24" i="54"/>
  <c r="AD24" i="54"/>
  <c r="AC24" i="54"/>
  <c r="AP24" i="54" l="1"/>
  <c r="C50" i="7" s="1"/>
  <c r="N24" i="15"/>
  <c r="AC33" i="15"/>
  <c r="AC32" i="15"/>
  <c r="J24" i="15"/>
  <c r="F24" i="15" s="1"/>
  <c r="AC25" i="15"/>
  <c r="AC26" i="15"/>
  <c r="AC27" i="15"/>
  <c r="AC28" i="15"/>
  <c r="AC29" i="15"/>
  <c r="AC30" i="15"/>
  <c r="AC31"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A24" i="15"/>
  <c r="Z24" i="15"/>
  <c r="B27" i="53" l="1"/>
  <c r="B77" i="53" s="1"/>
  <c r="K40" i="5"/>
  <c r="K35" i="5"/>
  <c r="K30" i="5"/>
  <c r="K29" i="5"/>
  <c r="G40" i="5"/>
  <c r="G35" i="5"/>
  <c r="G30" i="5"/>
  <c r="G29" i="5"/>
  <c r="D40" i="5"/>
  <c r="D35" i="5"/>
  <c r="D30" i="5"/>
  <c r="D29" i="5"/>
  <c r="K27" i="5"/>
  <c r="G27" i="5"/>
  <c r="D27" i="5"/>
  <c r="D26" i="5"/>
  <c r="B58" i="53" l="1"/>
  <c r="B38" i="53"/>
  <c r="B34" i="53"/>
  <c r="C23" i="6" l="1"/>
  <c r="AB53" i="15" l="1"/>
  <c r="AB25" i="15"/>
  <c r="AB26" i="15"/>
  <c r="AB27" i="15"/>
  <c r="AB28" i="15"/>
  <c r="AB29" i="15"/>
  <c r="AB30" i="15"/>
  <c r="AB31" i="15"/>
  <c r="AB32" i="15"/>
  <c r="AB33" i="15"/>
  <c r="AB34" i="15"/>
  <c r="AB35" i="15"/>
  <c r="AB36" i="15"/>
  <c r="AB37" i="15"/>
  <c r="AB38" i="15"/>
  <c r="AB39" i="15"/>
  <c r="AB40" i="15"/>
  <c r="AB41" i="15"/>
  <c r="AB42" i="15"/>
  <c r="AB43" i="15"/>
  <c r="AB44" i="15"/>
  <c r="AB46" i="15"/>
  <c r="AB47" i="15"/>
  <c r="AB48" i="15"/>
  <c r="AB49" i="15"/>
  <c r="AB50" i="15"/>
  <c r="AB51" i="15"/>
  <c r="AB54" i="15"/>
  <c r="AB55" i="15"/>
  <c r="AB56" i="15"/>
  <c r="AB57" i="15"/>
  <c r="AB58" i="15"/>
  <c r="AB59" i="15"/>
  <c r="AB60" i="15"/>
  <c r="AB61" i="15"/>
  <c r="AB62" i="15"/>
  <c r="AB63" i="15"/>
  <c r="AB64" i="15"/>
  <c r="H24" i="15"/>
  <c r="I24" i="15"/>
  <c r="K24" i="15"/>
  <c r="L24" i="15"/>
  <c r="M24" i="15"/>
  <c r="P24" i="15"/>
  <c r="Q24" i="15"/>
  <c r="R24" i="15"/>
  <c r="AC24" i="15" s="1"/>
  <c r="S24" i="15"/>
  <c r="T24" i="15"/>
  <c r="U24" i="15"/>
  <c r="V24" i="15"/>
  <c r="W24" i="15"/>
  <c r="X24" i="15"/>
  <c r="Y24" i="15"/>
  <c r="AB45" i="15" l="1"/>
  <c r="AB24" i="15"/>
  <c r="C48" i="7" s="1"/>
  <c r="AB52" i="15"/>
  <c r="O29" i="13" l="1"/>
  <c r="C49" i="7"/>
  <c r="B60" i="53" l="1"/>
  <c r="S24" i="12" l="1"/>
  <c r="J24" i="12"/>
  <c r="H24" i="12"/>
  <c r="O28" i="13" l="1"/>
  <c r="O27" i="13"/>
  <c r="O25" i="13"/>
  <c r="A15" i="53" l="1"/>
  <c r="B21" i="53" s="1"/>
  <c r="A12" i="53"/>
  <c r="A9" i="53"/>
  <c r="B83" i="53"/>
  <c r="B82" i="53" s="1"/>
  <c r="B81" i="53"/>
  <c r="B80" i="53" s="1"/>
  <c r="B41" i="53"/>
  <c r="B78" i="53" s="1"/>
  <c r="B32" i="53"/>
  <c r="B72" i="53"/>
  <c r="B30" i="53" l="1"/>
  <c r="B29" i="53" s="1"/>
  <c r="B47" i="53"/>
  <c r="B55" i="53"/>
  <c r="B68" i="53"/>
  <c r="B43" i="53"/>
  <c r="B51" i="53"/>
  <c r="B64" i="53"/>
  <c r="B75" i="53" l="1"/>
  <c r="B79" i="53"/>
  <c r="A15" i="52"/>
  <c r="A12" i="52"/>
  <c r="C120" i="52" l="1"/>
  <c r="D120" i="52" s="1"/>
  <c r="E120" i="52" s="1"/>
  <c r="F120" i="52" s="1"/>
  <c r="G120" i="52" s="1"/>
  <c r="H120" i="52" s="1"/>
  <c r="I120" i="52" s="1"/>
  <c r="J120" i="52" s="1"/>
  <c r="K120" i="52" s="1"/>
  <c r="L120" i="52" s="1"/>
  <c r="M120" i="52" s="1"/>
  <c r="N120" i="52" s="1"/>
  <c r="O120" i="52" s="1"/>
  <c r="P120" i="52" s="1"/>
  <c r="Q120" i="52" s="1"/>
  <c r="R120" i="52" s="1"/>
  <c r="S120" i="52" s="1"/>
  <c r="T120" i="52" s="1"/>
  <c r="U120" i="52" s="1"/>
  <c r="V120" i="52" s="1"/>
  <c r="W120" i="52" s="1"/>
  <c r="X120" i="52" s="1"/>
  <c r="Y120" i="52" s="1"/>
  <c r="Z120" i="52" s="1"/>
  <c r="AA120" i="52" s="1"/>
  <c r="AB120" i="52" s="1"/>
  <c r="AC120" i="52" s="1"/>
  <c r="AD120" i="52" s="1"/>
  <c r="AE120" i="52" s="1"/>
  <c r="AF120" i="52" s="1"/>
  <c r="AG120" i="52" s="1"/>
  <c r="C118" i="52"/>
  <c r="C116" i="52"/>
  <c r="D116" i="52" s="1"/>
  <c r="E116" i="52" s="1"/>
  <c r="F116" i="52" s="1"/>
  <c r="G116" i="52" s="1"/>
  <c r="H116" i="52" s="1"/>
  <c r="I116" i="52" s="1"/>
  <c r="J116" i="52" s="1"/>
  <c r="K116" i="52" s="1"/>
  <c r="L116" i="52" s="1"/>
  <c r="M116" i="52" s="1"/>
  <c r="N116" i="52" s="1"/>
  <c r="O116" i="52" s="1"/>
  <c r="P116" i="52" s="1"/>
  <c r="Q116" i="52" s="1"/>
  <c r="R116" i="52" s="1"/>
  <c r="S116" i="52" s="1"/>
  <c r="T116" i="52" s="1"/>
  <c r="U116" i="52" s="1"/>
  <c r="V116" i="52" s="1"/>
  <c r="W116" i="52" s="1"/>
  <c r="X116" i="52" s="1"/>
  <c r="Y116" i="52" s="1"/>
  <c r="Z116" i="52" s="1"/>
  <c r="AA116" i="52" s="1"/>
  <c r="AB116" i="52" s="1"/>
  <c r="AC116" i="52" s="1"/>
  <c r="AD116" i="52" s="1"/>
  <c r="AE116" i="52" s="1"/>
  <c r="AF116" i="52" s="1"/>
  <c r="AG116" i="52" s="1"/>
  <c r="G111" i="52"/>
  <c r="G110" i="52"/>
  <c r="I110" i="52" s="1"/>
  <c r="I112" i="52" s="1"/>
  <c r="C101" i="52" s="1"/>
  <c r="C100" i="52" s="1"/>
  <c r="D110" i="52"/>
  <c r="B110" i="52"/>
  <c r="D99" i="52"/>
  <c r="E99" i="52" s="1"/>
  <c r="F99" i="52" s="1"/>
  <c r="G99" i="52" s="1"/>
  <c r="H99" i="52" s="1"/>
  <c r="I99" i="52" s="1"/>
  <c r="J99" i="52" s="1"/>
  <c r="K99" i="52" s="1"/>
  <c r="L99" i="52" s="1"/>
  <c r="M99" i="52" s="1"/>
  <c r="N99" i="52" s="1"/>
  <c r="O99" i="52" s="1"/>
  <c r="P99" i="52" s="1"/>
  <c r="Q99" i="52" s="1"/>
  <c r="R99" i="52" s="1"/>
  <c r="S99" i="52" s="1"/>
  <c r="T99" i="52" s="1"/>
  <c r="U99" i="52" s="1"/>
  <c r="V99" i="52" s="1"/>
  <c r="W99" i="52" s="1"/>
  <c r="X99" i="52" s="1"/>
  <c r="Y99" i="52" s="1"/>
  <c r="Z99" i="52" s="1"/>
  <c r="AA99" i="52" s="1"/>
  <c r="AB99" i="52" s="1"/>
  <c r="AC99" i="52" s="1"/>
  <c r="AD99" i="52" s="1"/>
  <c r="AE99" i="52" s="1"/>
  <c r="AF99" i="52" s="1"/>
  <c r="AG99"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52" i="52" s="1"/>
  <c r="B52" i="52"/>
  <c r="B47" i="52"/>
  <c r="B45" i="52"/>
  <c r="A7" i="52"/>
  <c r="D118" i="52" l="1"/>
  <c r="D49" i="52" s="1"/>
  <c r="C49" i="52"/>
  <c r="C50" i="52" s="1"/>
  <c r="C59" i="52" s="1"/>
  <c r="B59" i="52"/>
  <c r="G112" i="52"/>
  <c r="D58" i="52"/>
  <c r="D52" i="52" s="1"/>
  <c r="C74" i="52"/>
  <c r="D76" i="52"/>
  <c r="C47" i="52"/>
  <c r="B46" i="52"/>
  <c r="E118" i="52"/>
  <c r="E49" i="52" s="1"/>
  <c r="D101" i="52"/>
  <c r="D100" i="52" s="1"/>
  <c r="D50" i="52" s="1"/>
  <c r="C122" i="52"/>
  <c r="B85" i="52" l="1"/>
  <c r="C73" i="52"/>
  <c r="B80" i="52"/>
  <c r="B66" i="52"/>
  <c r="B68" i="52" s="1"/>
  <c r="B75" i="52" s="1"/>
  <c r="C76" i="52"/>
  <c r="F76" i="52"/>
  <c r="C60" i="52"/>
  <c r="C66" i="52" s="1"/>
  <c r="C68" i="52" s="1"/>
  <c r="E58" i="52"/>
  <c r="F58" i="52" s="1"/>
  <c r="B54" i="52"/>
  <c r="B55" i="52" s="1"/>
  <c r="B56" i="52" s="1"/>
  <c r="B69" i="52" s="1"/>
  <c r="B77" i="52" s="1"/>
  <c r="E67" i="52"/>
  <c r="F67" i="52" s="1"/>
  <c r="D74" i="52"/>
  <c r="D47" i="52"/>
  <c r="C80" i="52"/>
  <c r="F118" i="52"/>
  <c r="F49" i="52" s="1"/>
  <c r="E101" i="52"/>
  <c r="E100" i="52" s="1"/>
  <c r="E50" i="52" s="1"/>
  <c r="E74" i="52" l="1"/>
  <c r="E76" i="52"/>
  <c r="E47" i="52"/>
  <c r="E52" i="52"/>
  <c r="D61" i="52"/>
  <c r="D60" i="52" s="1"/>
  <c r="B82" i="52"/>
  <c r="E121" i="52"/>
  <c r="E122" i="52" s="1"/>
  <c r="F101" i="52"/>
  <c r="F100" i="52" s="1"/>
  <c r="F50" i="52" s="1"/>
  <c r="G58" i="52"/>
  <c r="F52" i="52"/>
  <c r="F47" i="52"/>
  <c r="F74" i="52"/>
  <c r="B70" i="52"/>
  <c r="G67" i="52"/>
  <c r="G118" i="52"/>
  <c r="G49" i="52" s="1"/>
  <c r="C75" i="52"/>
  <c r="C53" i="52"/>
  <c r="D122" i="52"/>
  <c r="D59" i="52"/>
  <c r="E73" i="52" l="1"/>
  <c r="C85" i="52"/>
  <c r="D73" i="52"/>
  <c r="D85" i="52" s="1"/>
  <c r="E61" i="52"/>
  <c r="E60" i="52" s="1"/>
  <c r="E59" i="52"/>
  <c r="H118" i="52"/>
  <c r="H49" i="52" s="1"/>
  <c r="F61" i="52"/>
  <c r="F60" i="52" s="1"/>
  <c r="D80" i="52"/>
  <c r="D66" i="52"/>
  <c r="D68" i="52" s="1"/>
  <c r="G101" i="52"/>
  <c r="G100" i="52" s="1"/>
  <c r="G50" i="52" s="1"/>
  <c r="C55" i="52"/>
  <c r="D53" i="52" s="1"/>
  <c r="G76" i="52"/>
  <c r="H67" i="52"/>
  <c r="B71" i="52"/>
  <c r="B72" i="52" s="1"/>
  <c r="G74" i="52"/>
  <c r="H58" i="52"/>
  <c r="G47" i="52"/>
  <c r="G52" i="52"/>
  <c r="F121" i="52"/>
  <c r="G121" i="52" l="1"/>
  <c r="G122" i="52" s="1"/>
  <c r="F122" i="52"/>
  <c r="I67" i="52"/>
  <c r="H76" i="52"/>
  <c r="F59" i="52"/>
  <c r="I118" i="52"/>
  <c r="I49" i="52" s="1"/>
  <c r="G61" i="52"/>
  <c r="G60" i="52" s="1"/>
  <c r="H74" i="52"/>
  <c r="I58" i="52"/>
  <c r="H52" i="52"/>
  <c r="H47" i="52"/>
  <c r="D55" i="52"/>
  <c r="E53" i="52" s="1"/>
  <c r="D75" i="52"/>
  <c r="B78" i="52"/>
  <c r="H101" i="52"/>
  <c r="H100" i="52" s="1"/>
  <c r="H50" i="52" s="1"/>
  <c r="E80" i="52"/>
  <c r="E66" i="52"/>
  <c r="E68" i="52" s="1"/>
  <c r="C82" i="52"/>
  <c r="C56" i="52"/>
  <c r="C69" i="52" s="1"/>
  <c r="E85" i="52" l="1"/>
  <c r="F73" i="52"/>
  <c r="F85" i="52"/>
  <c r="G73" i="52"/>
  <c r="G59" i="52"/>
  <c r="G66" i="52" s="1"/>
  <c r="G68" i="52" s="1"/>
  <c r="E55" i="52"/>
  <c r="C77" i="52"/>
  <c r="C70" i="52"/>
  <c r="I74" i="52"/>
  <c r="J58" i="52"/>
  <c r="I52" i="52"/>
  <c r="I47" i="52"/>
  <c r="F80" i="52"/>
  <c r="F66" i="52"/>
  <c r="F68" i="52" s="1"/>
  <c r="J67" i="52"/>
  <c r="I76" i="52"/>
  <c r="I101" i="52"/>
  <c r="I100" i="52" s="1"/>
  <c r="I50" i="52" s="1"/>
  <c r="H121" i="52"/>
  <c r="D82" i="52"/>
  <c r="D56" i="52"/>
  <c r="D69" i="52" s="1"/>
  <c r="E75" i="52"/>
  <c r="J118" i="52"/>
  <c r="J49" i="52" s="1"/>
  <c r="H61" i="52"/>
  <c r="H60" i="52" s="1"/>
  <c r="G80" i="52" l="1"/>
  <c r="I121" i="52"/>
  <c r="H59" i="52"/>
  <c r="G75" i="52"/>
  <c r="K67" i="52"/>
  <c r="J76" i="52"/>
  <c r="J101" i="52"/>
  <c r="J100" i="52" s="1"/>
  <c r="J50" i="52" s="1"/>
  <c r="F75" i="52"/>
  <c r="K58" i="52"/>
  <c r="J52" i="52"/>
  <c r="J47" i="52"/>
  <c r="J74" i="52"/>
  <c r="E82" i="52"/>
  <c r="E56" i="52"/>
  <c r="E69" i="52" s="1"/>
  <c r="D77" i="52"/>
  <c r="D70" i="52"/>
  <c r="C71" i="52"/>
  <c r="C72" i="52" s="1"/>
  <c r="K118" i="52"/>
  <c r="K49" i="52" s="1"/>
  <c r="I61" i="52"/>
  <c r="I60" i="52" s="1"/>
  <c r="H122" i="52"/>
  <c r="F53" i="52"/>
  <c r="G85" i="52" l="1"/>
  <c r="H73" i="52"/>
  <c r="H80" i="52"/>
  <c r="H66" i="52"/>
  <c r="H68" i="52" s="1"/>
  <c r="K74" i="52"/>
  <c r="K52" i="52"/>
  <c r="K47" i="52"/>
  <c r="L58" i="52"/>
  <c r="I59" i="52"/>
  <c r="L118" i="52"/>
  <c r="L49" i="52" s="1"/>
  <c r="J61" i="52"/>
  <c r="J60" i="52" s="1"/>
  <c r="K76" i="52"/>
  <c r="L67" i="52"/>
  <c r="D71" i="52"/>
  <c r="D72" i="52" s="1"/>
  <c r="K101" i="52"/>
  <c r="K100" i="52" s="1"/>
  <c r="K50" i="52" s="1"/>
  <c r="F55" i="52"/>
  <c r="J121" i="52"/>
  <c r="C78" i="52"/>
  <c r="E77" i="52"/>
  <c r="E70" i="52"/>
  <c r="I122" i="52"/>
  <c r="H85" i="52" l="1"/>
  <c r="I73" i="52"/>
  <c r="J59" i="52"/>
  <c r="J66" i="52" s="1"/>
  <c r="J68" i="52" s="1"/>
  <c r="D78" i="52"/>
  <c r="K121" i="52"/>
  <c r="L76" i="52"/>
  <c r="M67" i="52"/>
  <c r="E71" i="52"/>
  <c r="I80" i="52"/>
  <c r="I66" i="52"/>
  <c r="I68" i="52" s="1"/>
  <c r="H75" i="52"/>
  <c r="F82" i="52"/>
  <c r="F56" i="52"/>
  <c r="F69" i="52" s="1"/>
  <c r="M118" i="52"/>
  <c r="M49" i="52" s="1"/>
  <c r="K61" i="52"/>
  <c r="K60" i="52" s="1"/>
  <c r="G53" i="52"/>
  <c r="J80" i="52"/>
  <c r="L74" i="52"/>
  <c r="M58" i="52"/>
  <c r="L52" i="52"/>
  <c r="L47" i="52"/>
  <c r="L101" i="52"/>
  <c r="L100" i="52" s="1"/>
  <c r="L50" i="52" s="1"/>
  <c r="J122" i="52"/>
  <c r="I85" i="52" l="1"/>
  <c r="J73" i="52"/>
  <c r="K59" i="52"/>
  <c r="N67" i="52"/>
  <c r="M76" i="52"/>
  <c r="M101" i="52"/>
  <c r="M100" i="52" s="1"/>
  <c r="M50" i="52" s="1"/>
  <c r="J75" i="52"/>
  <c r="O117" i="52"/>
  <c r="O48" i="52" s="1"/>
  <c r="N118" i="52"/>
  <c r="N49" i="52" s="1"/>
  <c r="L61" i="52"/>
  <c r="L60" i="52" s="1"/>
  <c r="I75" i="52"/>
  <c r="E78" i="52"/>
  <c r="L121" i="52"/>
  <c r="L122" i="52" s="1"/>
  <c r="M74" i="52"/>
  <c r="N58" i="52"/>
  <c r="M52" i="52"/>
  <c r="M47" i="52"/>
  <c r="G55" i="52"/>
  <c r="H53" i="52" s="1"/>
  <c r="F77" i="52"/>
  <c r="F70" i="52"/>
  <c r="E72" i="52"/>
  <c r="K122" i="52"/>
  <c r="J85" i="52" l="1"/>
  <c r="K73" i="52"/>
  <c r="K85" i="52" s="1"/>
  <c r="L73" i="52"/>
  <c r="O118" i="52"/>
  <c r="O49" i="52" s="1"/>
  <c r="M61" i="52"/>
  <c r="M60" i="52" s="1"/>
  <c r="M121" i="52"/>
  <c r="M122" i="52" s="1"/>
  <c r="N76" i="52"/>
  <c r="O67" i="52"/>
  <c r="H55" i="52"/>
  <c r="G82" i="52"/>
  <c r="G56" i="52"/>
  <c r="G69" i="52" s="1"/>
  <c r="O58" i="52"/>
  <c r="N52" i="52"/>
  <c r="N47" i="52"/>
  <c r="N74" i="52"/>
  <c r="P117" i="52"/>
  <c r="P48" i="52" s="1"/>
  <c r="L59" i="52"/>
  <c r="K80" i="52"/>
  <c r="K66" i="52"/>
  <c r="K68" i="52" s="1"/>
  <c r="N101" i="52"/>
  <c r="N100" i="52" s="1"/>
  <c r="N50" i="52" s="1"/>
  <c r="F71" i="52"/>
  <c r="F72" i="52" s="1"/>
  <c r="L85" i="52" l="1"/>
  <c r="M73" i="52"/>
  <c r="M59" i="52"/>
  <c r="M80" i="52" s="1"/>
  <c r="O76" i="52"/>
  <c r="P67" i="52"/>
  <c r="F78" i="52"/>
  <c r="K75" i="52"/>
  <c r="Q117" i="52"/>
  <c r="Q48" i="52" s="1"/>
  <c r="O74" i="52"/>
  <c r="O47" i="52"/>
  <c r="O52" i="52"/>
  <c r="P58" i="52"/>
  <c r="H82" i="52"/>
  <c r="H56" i="52"/>
  <c r="H69" i="52" s="1"/>
  <c r="G77" i="52"/>
  <c r="G70" i="52"/>
  <c r="N121" i="52"/>
  <c r="N122" i="52" s="1"/>
  <c r="P118" i="52"/>
  <c r="P49" i="52" s="1"/>
  <c r="N61" i="52"/>
  <c r="N60" i="52" s="1"/>
  <c r="L80" i="52"/>
  <c r="L66" i="52"/>
  <c r="L68" i="52" s="1"/>
  <c r="O101" i="52"/>
  <c r="O100" i="52" s="1"/>
  <c r="O50" i="52" s="1"/>
  <c r="I53" i="52"/>
  <c r="M85" i="52" l="1"/>
  <c r="N73" i="52"/>
  <c r="M66" i="52"/>
  <c r="M68" i="52" s="1"/>
  <c r="M75" i="52" s="1"/>
  <c r="N59" i="52"/>
  <c r="N66" i="52" s="1"/>
  <c r="N68" i="52" s="1"/>
  <c r="P101" i="52"/>
  <c r="P100" i="52" s="1"/>
  <c r="P50" i="52" s="1"/>
  <c r="L75" i="52"/>
  <c r="G71" i="52"/>
  <c r="G72" i="52" s="1"/>
  <c r="P74" i="52"/>
  <c r="Q58" i="52"/>
  <c r="P52" i="52"/>
  <c r="P47" i="52"/>
  <c r="I55" i="52"/>
  <c r="J53" i="52" s="1"/>
  <c r="Q118" i="52"/>
  <c r="Q49" i="52" s="1"/>
  <c r="O61" i="52"/>
  <c r="O60" i="52" s="1"/>
  <c r="R117" i="52"/>
  <c r="R48" i="52" s="1"/>
  <c r="P76" i="52"/>
  <c r="Q67" i="52"/>
  <c r="O121" i="52"/>
  <c r="O122" i="52" s="1"/>
  <c r="H77" i="52"/>
  <c r="H70" i="52"/>
  <c r="N80" i="52" l="1"/>
  <c r="N85" i="52"/>
  <c r="O73" i="52"/>
  <c r="J55" i="52"/>
  <c r="K53" i="52" s="1"/>
  <c r="P121" i="52"/>
  <c r="P122" i="52" s="1"/>
  <c r="Q76" i="52"/>
  <c r="R67" i="52"/>
  <c r="Q74" i="52"/>
  <c r="R58" i="52"/>
  <c r="Q47" i="52"/>
  <c r="Q52" i="52"/>
  <c r="S117" i="52"/>
  <c r="S48" i="52" s="1"/>
  <c r="O59" i="52"/>
  <c r="I82" i="52"/>
  <c r="I56" i="52"/>
  <c r="I69" i="52" s="1"/>
  <c r="H71" i="52"/>
  <c r="H72" i="52" s="1"/>
  <c r="N75" i="52"/>
  <c r="R118" i="52"/>
  <c r="R49" i="52" s="1"/>
  <c r="P61" i="52"/>
  <c r="P60" i="52" s="1"/>
  <c r="G78" i="52"/>
  <c r="Q101" i="52"/>
  <c r="Q100" i="52" s="1"/>
  <c r="Q50" i="52" s="1"/>
  <c r="O85" i="52" l="1"/>
  <c r="P73" i="52"/>
  <c r="H78" i="52"/>
  <c r="K55" i="52"/>
  <c r="L53" i="52" s="1"/>
  <c r="S118" i="52"/>
  <c r="S49" i="52" s="1"/>
  <c r="Q61" i="52"/>
  <c r="Q60" i="52" s="1"/>
  <c r="O80" i="52"/>
  <c r="O66" i="52"/>
  <c r="O68" i="52" s="1"/>
  <c r="Q121" i="52"/>
  <c r="Q122" i="52" s="1"/>
  <c r="R101" i="52"/>
  <c r="R100" i="52" s="1"/>
  <c r="R50" i="52" s="1"/>
  <c r="R76" i="52"/>
  <c r="S67" i="52"/>
  <c r="S58" i="52"/>
  <c r="R52" i="52"/>
  <c r="R47" i="52"/>
  <c r="R74" i="52"/>
  <c r="P59" i="52"/>
  <c r="I77" i="52"/>
  <c r="I70" i="52"/>
  <c r="T117" i="52"/>
  <c r="T48" i="52" s="1"/>
  <c r="J82" i="52"/>
  <c r="J56" i="52"/>
  <c r="J69" i="52" s="1"/>
  <c r="P85" i="52" l="1"/>
  <c r="Q73" i="52"/>
  <c r="Q59" i="52"/>
  <c r="T118" i="52"/>
  <c r="T49" i="52" s="1"/>
  <c r="S101" i="52"/>
  <c r="S100" i="52" s="1"/>
  <c r="S50" i="52" s="1"/>
  <c r="O75" i="52"/>
  <c r="K82" i="52"/>
  <c r="K56" i="52"/>
  <c r="K69" i="52" s="1"/>
  <c r="J77" i="52"/>
  <c r="J70" i="52"/>
  <c r="U117" i="52"/>
  <c r="U48" i="52" s="1"/>
  <c r="P80" i="52"/>
  <c r="P66" i="52"/>
  <c r="P68" i="52" s="1"/>
  <c r="S74" i="52"/>
  <c r="S47" i="52"/>
  <c r="T58" i="52"/>
  <c r="S52" i="52"/>
  <c r="I71" i="52"/>
  <c r="I78" i="52" s="1"/>
  <c r="R61" i="52"/>
  <c r="R60" i="52" s="1"/>
  <c r="S76" i="52"/>
  <c r="T67" i="52"/>
  <c r="R121" i="52"/>
  <c r="R122" i="52" s="1"/>
  <c r="L55" i="52"/>
  <c r="M53" i="52" s="1"/>
  <c r="Q85" i="52" l="1"/>
  <c r="R73" i="52"/>
  <c r="I72" i="52"/>
  <c r="M55" i="52"/>
  <c r="P75" i="52"/>
  <c r="T76" i="52"/>
  <c r="U67" i="52"/>
  <c r="U118" i="52"/>
  <c r="U49" i="52" s="1"/>
  <c r="S61" i="52"/>
  <c r="S60" i="52" s="1"/>
  <c r="S121" i="52"/>
  <c r="S122" i="52" s="1"/>
  <c r="V117" i="52"/>
  <c r="V48" i="52" s="1"/>
  <c r="T101" i="52"/>
  <c r="T100" i="52" s="1"/>
  <c r="T50" i="52" s="1"/>
  <c r="T74" i="52"/>
  <c r="U58" i="52"/>
  <c r="T52" i="52"/>
  <c r="T47" i="52"/>
  <c r="J71" i="52"/>
  <c r="J78" i="52" s="1"/>
  <c r="L82" i="52"/>
  <c r="L56" i="52"/>
  <c r="L69" i="52" s="1"/>
  <c r="K77" i="52"/>
  <c r="K70" i="52"/>
  <c r="R59" i="52"/>
  <c r="Q80" i="52"/>
  <c r="Q66" i="52"/>
  <c r="Q68" i="52" s="1"/>
  <c r="R85" i="52" l="1"/>
  <c r="S73" i="52"/>
  <c r="U101" i="52"/>
  <c r="U100" i="52" s="1"/>
  <c r="U50" i="52" s="1"/>
  <c r="R80" i="52"/>
  <c r="R66" i="52"/>
  <c r="R68" i="52" s="1"/>
  <c r="K71" i="52"/>
  <c r="K78" i="52" s="1"/>
  <c r="U74" i="52"/>
  <c r="V58" i="52"/>
  <c r="U52" i="52"/>
  <c r="U47" i="52"/>
  <c r="W117" i="52"/>
  <c r="W48" i="52" s="1"/>
  <c r="V118" i="52"/>
  <c r="V49" i="52" s="1"/>
  <c r="T61" i="52"/>
  <c r="T60" i="52" s="1"/>
  <c r="U76" i="52"/>
  <c r="V67" i="52"/>
  <c r="M82" i="52"/>
  <c r="M56" i="52"/>
  <c r="M69" i="52" s="1"/>
  <c r="L77" i="52"/>
  <c r="L70" i="52"/>
  <c r="Q75" i="52"/>
  <c r="J72" i="52"/>
  <c r="S59" i="52"/>
  <c r="T121" i="52"/>
  <c r="N53" i="52"/>
  <c r="K72" i="52" l="1"/>
  <c r="N55" i="52"/>
  <c r="O53" i="52" s="1"/>
  <c r="M77" i="52"/>
  <c r="M70" i="52"/>
  <c r="T59" i="52"/>
  <c r="U121" i="52"/>
  <c r="L71" i="52"/>
  <c r="L78" i="52" s="1"/>
  <c r="V76" i="52"/>
  <c r="W67" i="52"/>
  <c r="W58" i="52"/>
  <c r="V52" i="52"/>
  <c r="V47" i="52"/>
  <c r="V74" i="52"/>
  <c r="S80" i="52"/>
  <c r="S66" i="52"/>
  <c r="S68" i="52" s="1"/>
  <c r="X117" i="52"/>
  <c r="X48" i="52" s="1"/>
  <c r="R75" i="52"/>
  <c r="T122" i="52"/>
  <c r="W118" i="52"/>
  <c r="W49" i="52" s="1"/>
  <c r="U61" i="52"/>
  <c r="U60" i="52" s="1"/>
  <c r="V101" i="52"/>
  <c r="V100" i="52" s="1"/>
  <c r="V50" i="52" s="1"/>
  <c r="S85" i="52" l="1"/>
  <c r="T73" i="52"/>
  <c r="U59" i="52"/>
  <c r="U66" i="52" s="1"/>
  <c r="U68" i="52" s="1"/>
  <c r="L72" i="52"/>
  <c r="O55" i="52"/>
  <c r="P53" i="52" s="1"/>
  <c r="W101" i="52"/>
  <c r="W100" i="52" s="1"/>
  <c r="W50" i="52" s="1"/>
  <c r="V121" i="52"/>
  <c r="V122" i="52" s="1"/>
  <c r="W74" i="52"/>
  <c r="X58" i="52"/>
  <c r="W47" i="52"/>
  <c r="W52" i="52"/>
  <c r="T80" i="52"/>
  <c r="T66" i="52"/>
  <c r="T68" i="52" s="1"/>
  <c r="S75" i="52"/>
  <c r="X118" i="52"/>
  <c r="X49" i="52" s="1"/>
  <c r="V61" i="52"/>
  <c r="V60" i="52" s="1"/>
  <c r="Y117" i="52"/>
  <c r="Y48" i="52" s="1"/>
  <c r="W76" i="52"/>
  <c r="X67" i="52"/>
  <c r="N82" i="52"/>
  <c r="N56" i="52"/>
  <c r="N69" i="52" s="1"/>
  <c r="U122" i="52"/>
  <c r="M71" i="52"/>
  <c r="M78" i="52" s="1"/>
  <c r="V73" i="52" l="1"/>
  <c r="T85" i="52"/>
  <c r="U73" i="52"/>
  <c r="U85" i="52" s="1"/>
  <c r="U80" i="52"/>
  <c r="V59" i="52"/>
  <c r="V80" i="52" s="1"/>
  <c r="M72" i="52"/>
  <c r="Y118" i="52"/>
  <c r="Y49" i="52" s="1"/>
  <c r="W61" i="52"/>
  <c r="W60" i="52" s="1"/>
  <c r="N77" i="52"/>
  <c r="N70" i="52"/>
  <c r="T75" i="52"/>
  <c r="X74" i="52"/>
  <c r="Y58" i="52"/>
  <c r="X52" i="52"/>
  <c r="X47" i="52"/>
  <c r="P55" i="52"/>
  <c r="Q53" i="52" s="1"/>
  <c r="Z117" i="52"/>
  <c r="Z48" i="52" s="1"/>
  <c r="X101" i="52"/>
  <c r="X100" i="52" s="1"/>
  <c r="X50" i="52" s="1"/>
  <c r="Y67" i="52"/>
  <c r="X76" i="52"/>
  <c r="W121" i="52"/>
  <c r="W122" i="52" s="1"/>
  <c r="U75" i="52"/>
  <c r="O82" i="52"/>
  <c r="O56" i="52"/>
  <c r="O69" i="52" s="1"/>
  <c r="V85" i="52" l="1"/>
  <c r="W73" i="52"/>
  <c r="V66" i="52"/>
  <c r="V68" i="52" s="1"/>
  <c r="V75" i="52" s="1"/>
  <c r="W59" i="52"/>
  <c r="W66" i="52" s="1"/>
  <c r="W68" i="52" s="1"/>
  <c r="O77" i="52"/>
  <c r="O70" i="52"/>
  <c r="X121" i="52"/>
  <c r="X122" i="52" s="1"/>
  <c r="Y76" i="52"/>
  <c r="Z67" i="52"/>
  <c r="AA117" i="52"/>
  <c r="AA48" i="52" s="1"/>
  <c r="Y74" i="52"/>
  <c r="Z58" i="52"/>
  <c r="Y52" i="52"/>
  <c r="Y47" i="52"/>
  <c r="N71" i="52"/>
  <c r="N78" i="52" s="1"/>
  <c r="Z118" i="52"/>
  <c r="Z49" i="52" s="1"/>
  <c r="X61" i="52"/>
  <c r="X60" i="52" s="1"/>
  <c r="Y101" i="52"/>
  <c r="Y100" i="52" s="1"/>
  <c r="Y50" i="52" s="1"/>
  <c r="P82" i="52"/>
  <c r="P56" i="52"/>
  <c r="P69" i="52" s="1"/>
  <c r="Q55" i="52"/>
  <c r="R53" i="52" s="1"/>
  <c r="W85" i="52" l="1"/>
  <c r="X73" i="52"/>
  <c r="X59" i="52"/>
  <c r="X66" i="52" s="1"/>
  <c r="X68" i="52" s="1"/>
  <c r="W80" i="52"/>
  <c r="R55" i="52"/>
  <c r="P77" i="52"/>
  <c r="P70" i="52"/>
  <c r="N72" i="52"/>
  <c r="AB117" i="52"/>
  <c r="AB48" i="52" s="1"/>
  <c r="Y121" i="52"/>
  <c r="W75" i="52"/>
  <c r="Z76" i="52"/>
  <c r="AA67" i="52"/>
  <c r="O71" i="52"/>
  <c r="O78" i="52" s="1"/>
  <c r="Z101" i="52"/>
  <c r="Z100" i="52" s="1"/>
  <c r="Z50" i="52" s="1"/>
  <c r="AA58" i="52"/>
  <c r="Z52" i="52"/>
  <c r="Z47" i="52"/>
  <c r="Z74" i="52"/>
  <c r="Q56" i="52"/>
  <c r="Q69" i="52" s="1"/>
  <c r="Q82" i="52"/>
  <c r="AA118" i="52"/>
  <c r="AA49" i="52" s="1"/>
  <c r="Y61" i="52"/>
  <c r="Y60" i="52" s="1"/>
  <c r="X80" i="52" l="1"/>
  <c r="AA101" i="52"/>
  <c r="AA100" i="52" s="1"/>
  <c r="AA50" i="52" s="1"/>
  <c r="Z121" i="52"/>
  <c r="Z122" i="52" s="1"/>
  <c r="R82" i="52"/>
  <c r="R56" i="52"/>
  <c r="R69" i="52" s="1"/>
  <c r="AB118" i="52"/>
  <c r="AB49" i="52" s="1"/>
  <c r="Z61" i="52"/>
  <c r="Z60" i="52" s="1"/>
  <c r="Y122" i="52"/>
  <c r="P71" i="52"/>
  <c r="P78" i="52" s="1"/>
  <c r="Q77" i="52"/>
  <c r="Q70" i="52"/>
  <c r="AA74" i="52"/>
  <c r="AB58" i="52"/>
  <c r="AA52" i="52"/>
  <c r="AA47" i="52"/>
  <c r="O72" i="52"/>
  <c r="X75" i="52"/>
  <c r="Y59" i="52"/>
  <c r="AA76" i="52"/>
  <c r="AB67" i="52"/>
  <c r="AC117" i="52"/>
  <c r="AC48" i="52" s="1"/>
  <c r="S53" i="52"/>
  <c r="Z73" i="52" l="1"/>
  <c r="X85" i="52"/>
  <c r="Y73" i="52"/>
  <c r="Y85" i="52" s="1"/>
  <c r="Z59" i="52"/>
  <c r="Z66" i="52" s="1"/>
  <c r="Z68" i="52" s="1"/>
  <c r="P72" i="52"/>
  <c r="Y80" i="52"/>
  <c r="Y66" i="52"/>
  <c r="Y68" i="52" s="1"/>
  <c r="Z80" i="52"/>
  <c r="Q71" i="52"/>
  <c r="Q78" i="52" s="1"/>
  <c r="AB76" i="52"/>
  <c r="AC67" i="52"/>
  <c r="AA121" i="52"/>
  <c r="AA122" i="52" s="1"/>
  <c r="AD117" i="52"/>
  <c r="AD48" i="52" s="1"/>
  <c r="AB74" i="52"/>
  <c r="AC58" i="52"/>
  <c r="AB52" i="52"/>
  <c r="AB47" i="52"/>
  <c r="AC118" i="52"/>
  <c r="AC49" i="52" s="1"/>
  <c r="AA61" i="52"/>
  <c r="AA60" i="52" s="1"/>
  <c r="R77" i="52"/>
  <c r="R70" i="52"/>
  <c r="S55" i="52"/>
  <c r="T53" i="52" s="1"/>
  <c r="AB101" i="52"/>
  <c r="AB100" i="52" s="1"/>
  <c r="AB50" i="52" s="1"/>
  <c r="Z85" i="52" l="1"/>
  <c r="AA73" i="52"/>
  <c r="Q72" i="52"/>
  <c r="AC101" i="52"/>
  <c r="AC100" i="52" s="1"/>
  <c r="AC50" i="52" s="1"/>
  <c r="AA59" i="52"/>
  <c r="R71" i="52"/>
  <c r="R78" i="52" s="1"/>
  <c r="Z75" i="52"/>
  <c r="S82" i="52"/>
  <c r="S56" i="52"/>
  <c r="S69" i="52" s="1"/>
  <c r="AC74" i="52"/>
  <c r="AD58" i="52"/>
  <c r="AC52" i="52"/>
  <c r="AC47" i="52"/>
  <c r="AB121" i="52"/>
  <c r="AC76" i="52"/>
  <c r="AD67" i="52"/>
  <c r="AE117" i="52"/>
  <c r="AE48" i="52" s="1"/>
  <c r="T55" i="52"/>
  <c r="U53" i="52" s="1"/>
  <c r="AD118" i="52"/>
  <c r="AD49" i="52" s="1"/>
  <c r="AB61" i="52"/>
  <c r="AB60" i="52" s="1"/>
  <c r="Y75" i="52"/>
  <c r="AB59" i="52" l="1"/>
  <c r="AB80" i="52" s="1"/>
  <c r="R72" i="52"/>
  <c r="U55" i="52"/>
  <c r="V53" i="52" s="1"/>
  <c r="AC121" i="52"/>
  <c r="AC122" i="52" s="1"/>
  <c r="T82" i="52"/>
  <c r="T56" i="52"/>
  <c r="T69" i="52" s="1"/>
  <c r="AD76" i="52"/>
  <c r="AE67" i="52"/>
  <c r="S77" i="52"/>
  <c r="S70" i="52"/>
  <c r="AE118" i="52"/>
  <c r="AE49" i="52" s="1"/>
  <c r="AC61" i="52"/>
  <c r="AC60" i="52" s="1"/>
  <c r="AF117" i="52"/>
  <c r="AF48" i="52" s="1"/>
  <c r="AB122" i="52"/>
  <c r="AE58" i="52"/>
  <c r="AD52" i="52"/>
  <c r="AD47" i="52"/>
  <c r="AD74" i="52"/>
  <c r="AA80" i="52"/>
  <c r="AA66" i="52"/>
  <c r="AA68" i="52" s="1"/>
  <c r="AD101" i="52"/>
  <c r="AD100" i="52" s="1"/>
  <c r="AD50" i="52" s="1"/>
  <c r="AA85" i="52" l="1"/>
  <c r="AB73" i="52"/>
  <c r="AB85" i="52"/>
  <c r="AC73" i="52"/>
  <c r="AB66" i="52"/>
  <c r="AB68" i="52" s="1"/>
  <c r="AC59" i="52"/>
  <c r="AC80" i="52" s="1"/>
  <c r="V55" i="52"/>
  <c r="W53" i="52" s="1"/>
  <c r="AF118" i="52"/>
  <c r="AF49" i="52" s="1"/>
  <c r="AD61" i="52"/>
  <c r="AD60" i="52" s="1"/>
  <c r="AE76" i="52"/>
  <c r="AF67" i="52"/>
  <c r="S71" i="52"/>
  <c r="S78" i="52" s="1"/>
  <c r="AB75" i="52"/>
  <c r="AD121" i="52"/>
  <c r="AD122" i="52" s="1"/>
  <c r="U82" i="52"/>
  <c r="U56" i="52"/>
  <c r="U69" i="52" s="1"/>
  <c r="AA75" i="52"/>
  <c r="AG117" i="52"/>
  <c r="AG48" i="52" s="1"/>
  <c r="T77" i="52"/>
  <c r="T70" i="52"/>
  <c r="AE101" i="52"/>
  <c r="AE100" i="52" s="1"/>
  <c r="AE50" i="52" s="1"/>
  <c r="AE74" i="52"/>
  <c r="AE47" i="52"/>
  <c r="AF58" i="52"/>
  <c r="AE52" i="52"/>
  <c r="AC85" i="52" l="1"/>
  <c r="AD73" i="52"/>
  <c r="AD59" i="52"/>
  <c r="AD80" i="52" s="1"/>
  <c r="AC66" i="52"/>
  <c r="AC68" i="52" s="1"/>
  <c r="AC75" i="52" s="1"/>
  <c r="S72" i="52"/>
  <c r="AF74" i="52"/>
  <c r="AG58" i="52"/>
  <c r="AF52" i="52"/>
  <c r="AF47" i="52"/>
  <c r="AF101" i="52"/>
  <c r="AF100" i="52" s="1"/>
  <c r="AF50" i="52" s="1"/>
  <c r="W55" i="52"/>
  <c r="T71" i="52"/>
  <c r="T78" i="52" s="1"/>
  <c r="AE121" i="52"/>
  <c r="AE122" i="52" s="1"/>
  <c r="U77" i="52"/>
  <c r="U70" i="52"/>
  <c r="AG118" i="52"/>
  <c r="AG49" i="52" s="1"/>
  <c r="AE61" i="52"/>
  <c r="AE60" i="52" s="1"/>
  <c r="AF76" i="52"/>
  <c r="AG67" i="52"/>
  <c r="V82" i="52"/>
  <c r="V56" i="52"/>
  <c r="V69" i="52" s="1"/>
  <c r="AD85" i="52" l="1"/>
  <c r="AE73" i="52"/>
  <c r="AD66" i="52"/>
  <c r="AD68" i="52" s="1"/>
  <c r="AD75" i="52" s="1"/>
  <c r="T72" i="52"/>
  <c r="W82" i="52"/>
  <c r="W56" i="52"/>
  <c r="W69" i="52" s="1"/>
  <c r="V77" i="52"/>
  <c r="V70" i="52"/>
  <c r="X53" i="52"/>
  <c r="AG76" i="52"/>
  <c r="U71" i="52"/>
  <c r="U78" i="52" s="1"/>
  <c r="AE59" i="52"/>
  <c r="AG74" i="52"/>
  <c r="AG47" i="52"/>
  <c r="AG52" i="52"/>
  <c r="AF61" i="52"/>
  <c r="AF60" i="52" s="1"/>
  <c r="AF121" i="52"/>
  <c r="AG101" i="52"/>
  <c r="AG100" i="52" s="1"/>
  <c r="AG50" i="52" s="1"/>
  <c r="AF59" i="52" l="1"/>
  <c r="AF66" i="52" s="1"/>
  <c r="AF68" i="52" s="1"/>
  <c r="AG121" i="52"/>
  <c r="AG122" i="52" s="1"/>
  <c r="AE80" i="52"/>
  <c r="AE66" i="52"/>
  <c r="AE68" i="52" s="1"/>
  <c r="AF122" i="52"/>
  <c r="U72" i="52"/>
  <c r="V71" i="52"/>
  <c r="V78" i="52" s="1"/>
  <c r="AG61" i="52"/>
  <c r="AG60" i="52" s="1"/>
  <c r="X55" i="52"/>
  <c r="Y53" i="52" s="1"/>
  <c r="W77" i="52"/>
  <c r="W70" i="52"/>
  <c r="AF80" i="52" l="1"/>
  <c r="AG73" i="52"/>
  <c r="AE85" i="52"/>
  <c r="AF73" i="52"/>
  <c r="AF85" i="52" s="1"/>
  <c r="W71" i="52"/>
  <c r="W78" i="52" s="1"/>
  <c r="AG59" i="52"/>
  <c r="Y55" i="52"/>
  <c r="AF75" i="52"/>
  <c r="X82" i="52"/>
  <c r="X56" i="52"/>
  <c r="X69" i="52" s="1"/>
  <c r="V72" i="52"/>
  <c r="AE75" i="52"/>
  <c r="AG85" i="52"/>
  <c r="W72" i="52" l="1"/>
  <c r="AG80" i="52"/>
  <c r="AG66" i="52"/>
  <c r="AG68" i="52" s="1"/>
  <c r="Y82" i="52"/>
  <c r="Y56" i="52"/>
  <c r="Y69" i="52" s="1"/>
  <c r="Z53" i="52"/>
  <c r="X77" i="52"/>
  <c r="X70" i="52"/>
  <c r="Y77" i="52" l="1"/>
  <c r="Y70" i="52"/>
  <c r="X71" i="52"/>
  <c r="X78" i="52" s="1"/>
  <c r="Z55" i="52"/>
  <c r="AG75" i="52"/>
  <c r="X72" i="52" l="1"/>
  <c r="Z82" i="52"/>
  <c r="Z56" i="52"/>
  <c r="Z69" i="52" s="1"/>
  <c r="AA53" i="52"/>
  <c r="Y71" i="52"/>
  <c r="Y78" i="52" s="1"/>
  <c r="Z77" i="52" l="1"/>
  <c r="Z70" i="52"/>
  <c r="Y72" i="52"/>
  <c r="AA55" i="52"/>
  <c r="AA82" i="52" l="1"/>
  <c r="AA56" i="52"/>
  <c r="AA69" i="52" s="1"/>
  <c r="AB53" i="52"/>
  <c r="Z71" i="52"/>
  <c r="Z78" i="52" s="1"/>
  <c r="AA77" i="52" l="1"/>
  <c r="AA70" i="52"/>
  <c r="AB55" i="52"/>
  <c r="AC53" i="52" s="1"/>
  <c r="Z72" i="52"/>
  <c r="AC55" i="52" l="1"/>
  <c r="AB82" i="52"/>
  <c r="AB56" i="52"/>
  <c r="AB69" i="52" s="1"/>
  <c r="AA71" i="52"/>
  <c r="AA78" i="52" s="1"/>
  <c r="AA72" i="52" l="1"/>
  <c r="AC82" i="52"/>
  <c r="AC56" i="52"/>
  <c r="AC69" i="52" s="1"/>
  <c r="AD53" i="52"/>
  <c r="AB77" i="52"/>
  <c r="AB70" i="52"/>
  <c r="AC77" i="52" l="1"/>
  <c r="AC70" i="52"/>
  <c r="AD55" i="52"/>
  <c r="AE53" i="52" s="1"/>
  <c r="AB71" i="52"/>
  <c r="AB78" i="52" s="1"/>
  <c r="AB72" i="52" l="1"/>
  <c r="AE5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F71" i="52" l="1"/>
  <c r="AF78" i="52" s="1"/>
  <c r="AG77" i="52"/>
  <c r="AG70" i="52"/>
  <c r="AG71" i="52" l="1"/>
  <c r="AG78" i="52" s="1"/>
  <c r="AF72" i="52"/>
  <c r="AG72" i="52" l="1"/>
  <c r="A15" i="12" l="1"/>
  <c r="A8" i="17" l="1"/>
  <c r="E9" i="14"/>
  <c r="T23" i="15" l="1"/>
  <c r="U23" i="15" s="1"/>
  <c r="V23" i="15" s="1"/>
  <c r="W23" i="15" s="1"/>
  <c r="X23" i="15" s="1"/>
  <c r="Y23" i="15" s="1"/>
  <c r="Z23" i="15" s="1"/>
  <c r="AA23" i="15" s="1"/>
  <c r="AB23" i="15" s="1"/>
  <c r="AC23" i="15" s="1"/>
  <c r="A15" i="5" l="1"/>
  <c r="A12" i="5"/>
  <c r="A9" i="5"/>
  <c r="A5" i="5"/>
  <c r="A5" i="53" s="1"/>
  <c r="A14" i="15"/>
  <c r="A11" i="15"/>
  <c r="A8" i="15"/>
  <c r="A4" i="15"/>
  <c r="A15" i="16"/>
  <c r="A14" i="54" s="1"/>
  <c r="A12" i="16"/>
  <c r="A11" i="54" s="1"/>
  <c r="A9" i="16"/>
  <c r="A8" i="54" s="1"/>
  <c r="A15" i="10"/>
  <c r="A12" i="10"/>
  <c r="A9" i="10"/>
  <c r="A5" i="10"/>
  <c r="A4" i="17"/>
  <c r="A14" i="17"/>
  <c r="A11" i="17"/>
  <c r="A6" i="13"/>
  <c r="A5" i="14"/>
  <c r="A4" i="12"/>
  <c r="A5" i="16" s="1"/>
  <c r="A4" i="54"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52" l="1"/>
  <c r="C83" i="52" s="1"/>
  <c r="C86" i="52" s="1"/>
  <c r="B83" i="52"/>
  <c r="D79" i="52" l="1"/>
  <c r="D83" i="52" s="1"/>
  <c r="D86" i="52" s="1"/>
  <c r="D88" i="52"/>
  <c r="B86" i="52"/>
  <c r="B88" i="52"/>
  <c r="D84" i="52"/>
  <c r="B84" i="52"/>
  <c r="B89" i="52" s="1"/>
  <c r="C88" i="52"/>
  <c r="C84" i="52"/>
  <c r="C89" i="52" s="1"/>
  <c r="E79" i="52"/>
  <c r="F79" i="52"/>
  <c r="F83" i="52" s="1"/>
  <c r="F86" i="52" s="1"/>
  <c r="E83" i="52" l="1"/>
  <c r="C87" i="52"/>
  <c r="B87" i="52"/>
  <c r="B90" i="52" s="1"/>
  <c r="D87" i="52"/>
  <c r="G79" i="52"/>
  <c r="H79" i="52" s="1"/>
  <c r="H83" i="52" s="1"/>
  <c r="H86" i="52" s="1"/>
  <c r="D89" i="52"/>
  <c r="C90" i="52" l="1"/>
  <c r="G83" i="52"/>
  <c r="G86" i="52" s="1"/>
  <c r="D90" i="52"/>
  <c r="I79" i="52"/>
  <c r="I83" i="52" s="1"/>
  <c r="I86" i="52" s="1"/>
  <c r="E86" i="52"/>
  <c r="E84" i="52"/>
  <c r="E89" i="52" s="1"/>
  <c r="E88" i="52"/>
  <c r="G88" i="52"/>
  <c r="F88" i="52"/>
  <c r="H84" i="52"/>
  <c r="F84" i="52"/>
  <c r="I88" i="52" l="1"/>
  <c r="F89" i="52"/>
  <c r="G84" i="52"/>
  <c r="H89" i="52" s="1"/>
  <c r="H88" i="52"/>
  <c r="J79" i="52"/>
  <c r="J83" i="52" s="1"/>
  <c r="J86" i="52" s="1"/>
  <c r="J87" i="52" s="1"/>
  <c r="I84" i="52"/>
  <c r="I89" i="52" s="1"/>
  <c r="F87" i="52"/>
  <c r="F90" i="52" s="1"/>
  <c r="G87" i="52"/>
  <c r="E87" i="52"/>
  <c r="E90" i="52" s="1"/>
  <c r="I87" i="52"/>
  <c r="H87" i="52"/>
  <c r="G89" i="52" l="1"/>
  <c r="J90" i="52"/>
  <c r="J88" i="52"/>
  <c r="K79" i="52"/>
  <c r="L79" i="52" s="1"/>
  <c r="G90" i="52"/>
  <c r="J84" i="52"/>
  <c r="J89" i="52" s="1"/>
  <c r="I90" i="52"/>
  <c r="H90" i="52"/>
  <c r="K83" i="52" l="1"/>
  <c r="M79" i="52"/>
  <c r="M83" i="52" s="1"/>
  <c r="M86" i="52" s="1"/>
  <c r="K86" i="52"/>
  <c r="K88" i="52"/>
  <c r="K84" i="52"/>
  <c r="K89" i="52" s="1"/>
  <c r="L83" i="52"/>
  <c r="L86" i="52" s="1"/>
  <c r="L84" i="52" l="1"/>
  <c r="L89" i="52" s="1"/>
  <c r="G28" i="52" s="1"/>
  <c r="N79" i="52"/>
  <c r="M88" i="52"/>
  <c r="K87" i="52"/>
  <c r="K90" i="52" s="1"/>
  <c r="M87" i="52"/>
  <c r="L87" i="52"/>
  <c r="M84" i="52"/>
  <c r="M89" i="52" s="1"/>
  <c r="L88" i="52"/>
  <c r="L90" i="52" l="1"/>
  <c r="G29" i="52" s="1"/>
  <c r="M90" i="52"/>
  <c r="G30" i="52"/>
  <c r="N83" i="52"/>
  <c r="O79" i="52"/>
  <c r="N86" i="52" l="1"/>
  <c r="N88" i="52"/>
  <c r="N84" i="52"/>
  <c r="N89" i="52" s="1"/>
  <c r="O83" i="52"/>
  <c r="P79" i="52"/>
  <c r="P83" i="52" l="1"/>
  <c r="P88" i="52" s="1"/>
  <c r="Q79" i="52"/>
  <c r="O86" i="52"/>
  <c r="O88" i="52"/>
  <c r="O84" i="52"/>
  <c r="O89" i="52" s="1"/>
  <c r="N87" i="52"/>
  <c r="N90" i="52" s="1"/>
  <c r="Q83" i="52" l="1"/>
  <c r="R79" i="52"/>
  <c r="O87" i="52"/>
  <c r="O90" i="52" s="1"/>
  <c r="P86" i="52"/>
  <c r="P84" i="52"/>
  <c r="P89" i="52" s="1"/>
  <c r="Q86" i="52" l="1"/>
  <c r="Q87" i="52" s="1"/>
  <c r="Q84" i="52"/>
  <c r="Q89" i="52" s="1"/>
  <c r="Q88" i="52"/>
  <c r="R83" i="52"/>
  <c r="S79" i="52"/>
  <c r="P87" i="52"/>
  <c r="P90" i="52" s="1"/>
  <c r="R86" i="52" l="1"/>
  <c r="R87" i="52" s="1"/>
  <c r="R90" i="52" s="1"/>
  <c r="R84" i="52"/>
  <c r="R89" i="52" s="1"/>
  <c r="R88" i="52"/>
  <c r="S83" i="52"/>
  <c r="T79" i="52"/>
  <c r="Q90" i="52"/>
  <c r="S86" i="52" l="1"/>
  <c r="S87" i="52" s="1"/>
  <c r="S90" i="52" s="1"/>
  <c r="S84" i="52"/>
  <c r="S89" i="52" s="1"/>
  <c r="S88" i="52"/>
  <c r="T83" i="52"/>
  <c r="U79" i="52"/>
  <c r="T86" i="52" l="1"/>
  <c r="T87" i="52" s="1"/>
  <c r="T90" i="52" s="1"/>
  <c r="T88" i="52"/>
  <c r="T84" i="52"/>
  <c r="T89" i="52" s="1"/>
  <c r="U83" i="52"/>
  <c r="V79" i="52"/>
  <c r="U86" i="52" l="1"/>
  <c r="U87" i="52" s="1"/>
  <c r="U90" i="52" s="1"/>
  <c r="U88" i="52"/>
  <c r="U84" i="52"/>
  <c r="U89" i="52" s="1"/>
  <c r="V83" i="52"/>
  <c r="W79" i="52"/>
  <c r="V86" i="52" l="1"/>
  <c r="V87" i="52" s="1"/>
  <c r="V90" i="52" s="1"/>
  <c r="V88" i="52"/>
  <c r="V84" i="52"/>
  <c r="V89" i="52" s="1"/>
  <c r="W83" i="52"/>
  <c r="X79" i="52"/>
  <c r="W86" i="52" l="1"/>
  <c r="W87" i="52" s="1"/>
  <c r="W90" i="52" s="1"/>
  <c r="W84" i="52"/>
  <c r="W89" i="52" s="1"/>
  <c r="W88" i="52"/>
  <c r="X83" i="52"/>
  <c r="Y79" i="52"/>
  <c r="X86" i="52" l="1"/>
  <c r="X87" i="52" s="1"/>
  <c r="X90" i="52" s="1"/>
  <c r="X84" i="52"/>
  <c r="X89" i="52" s="1"/>
  <c r="X88" i="52"/>
  <c r="Y83" i="52"/>
  <c r="Z79" i="52"/>
  <c r="Y86" i="52" l="1"/>
  <c r="Y87" i="52" s="1"/>
  <c r="Y90" i="52" s="1"/>
  <c r="Y88" i="52"/>
  <c r="Y84" i="52"/>
  <c r="Y89" i="52" s="1"/>
  <c r="Z83" i="52"/>
  <c r="AA79" i="52"/>
  <c r="Z86" i="52" l="1"/>
  <c r="Z87" i="52" s="1"/>
  <c r="Z90" i="52" s="1"/>
  <c r="Z88" i="52"/>
  <c r="Z84" i="52"/>
  <c r="Z89" i="52" s="1"/>
  <c r="AA83" i="52"/>
  <c r="AB79" i="52"/>
  <c r="AA86" i="52" l="1"/>
  <c r="AA87" i="52" s="1"/>
  <c r="AA90" i="52" s="1"/>
  <c r="AA84" i="52"/>
  <c r="AA89" i="52" s="1"/>
  <c r="AA88" i="52"/>
  <c r="AB83" i="52"/>
  <c r="AC79" i="52"/>
  <c r="AB86" i="52" l="1"/>
  <c r="AB87" i="52" s="1"/>
  <c r="AB90" i="52" s="1"/>
  <c r="AB84" i="52"/>
  <c r="AB89" i="52" s="1"/>
  <c r="AB88" i="52"/>
  <c r="AC83" i="52"/>
  <c r="AD79" i="52"/>
  <c r="AC86" i="52" l="1"/>
  <c r="AC87" i="52" s="1"/>
  <c r="AC90" i="52" s="1"/>
  <c r="AC88" i="52"/>
  <c r="AC84" i="52"/>
  <c r="AC89" i="52" s="1"/>
  <c r="AD83" i="52"/>
  <c r="AE79" i="52"/>
  <c r="AD86" i="52" l="1"/>
  <c r="AD87" i="52" s="1"/>
  <c r="AD90" i="52" s="1"/>
  <c r="AD88" i="52"/>
  <c r="AD84" i="52"/>
  <c r="AD89" i="52" s="1"/>
  <c r="AE83" i="52"/>
  <c r="AF79" i="52"/>
  <c r="AE86" i="52" l="1"/>
  <c r="AE87" i="52" s="1"/>
  <c r="AE90" i="52" s="1"/>
  <c r="AE84" i="52"/>
  <c r="AE89" i="52" s="1"/>
  <c r="AE88" i="52"/>
  <c r="AF83" i="52"/>
  <c r="AG79" i="52"/>
  <c r="AG83" i="52" s="1"/>
  <c r="AF86" i="52" l="1"/>
  <c r="AF87" i="52" s="1"/>
  <c r="AF90" i="52" s="1"/>
  <c r="AF84" i="52"/>
  <c r="AF89" i="52" s="1"/>
  <c r="AF88" i="52"/>
  <c r="AG86" i="52"/>
  <c r="AG87" i="52" s="1"/>
  <c r="AG90" i="52" s="1"/>
  <c r="AG88" i="52"/>
  <c r="AG84" i="52"/>
  <c r="AG89" i="52" s="1"/>
</calcChain>
</file>

<file path=xl/sharedStrings.xml><?xml version="1.0" encoding="utf-8"?>
<sst xmlns="http://schemas.openxmlformats.org/spreadsheetml/2006/main" count="1763" uniqueCount="781">
  <si>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</si>
  <si>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</si>
  <si>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</si>
  <si>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</si>
  <si>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</si>
  <si>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</si>
  <si>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</si>
  <si>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</si>
  <si>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</si>
  <si>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</si>
  <si>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</si>
  <si>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</si>
  <si>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</si>
  <si>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</si>
  <si>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</si>
  <si>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</si>
  <si>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</si>
  <si>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</si>
  <si>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</si>
  <si>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</si>
  <si>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</si>
  <si>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</si>
  <si>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</si>
  <si>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</si>
  <si>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</si>
  <si>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</si>
  <si>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</si>
  <si>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</si>
  <si>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</si>
  <si>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</si>
  <si>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</si>
  <si>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</si>
  <si>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</si>
  <si>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</si>
  <si>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</si>
  <si>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</si>
  <si>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</si>
  <si>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</si>
  <si>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</si>
  <si>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</si>
  <si>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</si>
  <si>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</si>
  <si>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</si>
  <si>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</si>
  <si>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</si>
  <si>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</si>
  <si>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</si>
  <si>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</si>
  <si>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</si>
  <si>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</si>
  <si>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</si>
  <si>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</si>
  <si>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</si>
  <si>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</si>
  <si>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</si>
  <si>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</si>
  <si>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</si>
  <si>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</si>
  <si>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</si>
  <si>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</si>
  <si>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</si>
  <si>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</si>
  <si>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</si>
  <si>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</si>
  <si>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</si>
  <si>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</si>
  <si>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</si>
  <si>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</si>
  <si>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</si>
  <si>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</si>
  <si>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</si>
  <si>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</si>
  <si>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</si>
  <si>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</si>
  <si>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</si>
  <si>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</si>
  <si>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</si>
  <si>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</si>
  <si>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</si>
  <si>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</si>
  <si>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</si>
  <si>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</si>
  <si>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</si>
  <si>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</si>
  <si>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</si>
  <si>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</si>
  <si>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</si>
  <si>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</si>
  <si>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</si>
  <si>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</si>
  <si>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</si>
  <si>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</si>
  <si>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</si>
  <si>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</si>
  <si>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</si>
  <si>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</si>
  <si>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</si>
  <si>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</si>
  <si>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</si>
  <si>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</si>
  <si>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</si>
  <si>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</si>
  <si>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</si>
  <si>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</si>
  <si>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</si>
  <si>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</si>
  <si>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</si>
  <si>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</si>
  <si>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</si>
  <si>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</si>
  <si>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</si>
  <si>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</si>
  <si>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</si>
  <si>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</si>
  <si>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</si>
  <si>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</si>
  <si>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</si>
  <si>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</si>
  <si>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</si>
  <si>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</si>
  <si>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</si>
  <si>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</si>
  <si>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</si>
  <si>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</si>
  <si>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</si>
  <si>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</si>
  <si>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</si>
  <si>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</si>
  <si>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</si>
  <si>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</si>
  <si>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</si>
  <si>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</si>
  <si>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</si>
  <si>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</si>
  <si>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</si>
  <si>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</si>
  <si>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</si>
  <si>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</si>
  <si>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</si>
  <si>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</si>
  <si>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</si>
  <si>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</si>
  <si>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</si>
  <si>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</si>
  <si>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</si>
  <si>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</si>
  <si>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</si>
  <si>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</si>
  <si>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</si>
  <si>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</si>
  <si>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</si>
  <si>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</si>
  <si>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</si>
  <si>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</si>
  <si>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</si>
  <si>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</si>
  <si>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</si>
  <si>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</si>
  <si>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</si>
  <si>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</si>
  <si>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</si>
  <si>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</si>
  <si>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</si>
  <si>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</si>
  <si>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</si>
  <si>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</si>
  <si>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</si>
  <si>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</si>
  <si>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</si>
  <si>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</si>
  <si>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</si>
  <si>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</si>
  <si>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</si>
  <si>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</si>
  <si>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</si>
  <si>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</si>
  <si>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</si>
  <si>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</si>
  <si>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</si>
  <si>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</si>
  <si>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</si>
  <si>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</si>
  <si>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</si>
  <si>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</si>
  <si>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</si>
  <si>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</si>
  <si>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</si>
  <si>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</si>
  <si>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</si>
  <si>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</si>
  <si>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</si>
  <si>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</si>
  <si>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</si>
  <si>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</si>
  <si>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</si>
  <si>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</si>
  <si>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</si>
  <si>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</si>
  <si>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</si>
  <si>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</si>
  <si>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</si>
  <si>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</si>
  <si>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</si>
  <si>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</si>
  <si>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</si>
  <si>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</si>
  <si>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</si>
  <si>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</si>
  <si>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</si>
  <si>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</si>
  <si>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</si>
  <si>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</si>
  <si>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</si>
  <si>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</si>
  <si>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</si>
  <si>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</si>
  <si>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</si>
  <si>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</si>
  <si>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</si>
  <si>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</si>
  <si>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</si>
  <si>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</si>
  <si>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</si>
  <si>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</si>
  <si>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</si>
  <si>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</si>
  <si>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</si>
  <si>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</si>
  <si>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</si>
  <si>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</si>
  <si>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</si>
  <si>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</si>
  <si>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</si>
  <si>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</si>
  <si>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</si>
  <si>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</si>
  <si>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</si>
  <si>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</si>
  <si>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</si>
  <si>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</si>
  <si>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</si>
  <si>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</si>
  <si>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</si>
  <si>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</si>
  <si>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</si>
  <si>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</si>
  <si>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</si>
  <si>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</si>
  <si>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</si>
  <si>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</si>
  <si>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</si>
  <si>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</si>
  <si>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</si>
  <si>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</si>
  <si>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</si>
  <si>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</si>
  <si>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</si>
  <si>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</si>
  <si>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</si>
  <si>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</si>
  <si>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</si>
  <si>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</si>
  <si>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</si>
  <si>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</si>
  <si>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</si>
  <si>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</si>
  <si>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</si>
  <si>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</si>
  <si>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</si>
  <si>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</si>
  <si>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</si>
  <si>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</si>
  <si>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</si>
  <si>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</si>
  <si>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</si>
  <si>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</si>
  <si>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</si>
  <si>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</si>
  <si>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</si>
  <si>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</si>
  <si>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</si>
  <si>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</si>
  <si>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</si>
  <si>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</si>
  <si>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</si>
  <si>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</si>
  <si>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</si>
  <si>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</si>
  <si>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</si>
  <si>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</si>
  <si>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</si>
  <si>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</si>
  <si>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</si>
  <si>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</si>
  <si>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</si>
  <si>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</si>
  <si>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</si>
  <si>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</si>
  <si>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</si>
  <si>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</si>
  <si>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</si>
  <si>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</si>
  <si>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</si>
  <si>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</si>
  <si>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</si>
  <si>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</si>
  <si>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</si>
  <si>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</si>
  <si>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</si>
  <si>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</si>
  <si>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</si>
  <si>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</si>
  <si>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</si>
  <si>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</si>
  <si>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</si>
  <si>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</si>
  <si>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</si>
  <si>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</si>
  <si>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</si>
  <si>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</si>
  <si>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</si>
  <si>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</si>
  <si>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</si>
  <si>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</si>
  <si>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</si>
  <si>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</si>
  <si>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</si>
  <si>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</si>
  <si>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</si>
  <si>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</si>
  <si>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</si>
  <si>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</si>
  <si>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</si>
  <si>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</si>
  <si>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</si>
  <si>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</si>
  <si>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</si>
  <si>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</si>
  <si>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</si>
  <si>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</si>
  <si>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</si>
  <si>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</si>
  <si>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</si>
  <si>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</si>
  <si>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</si>
  <si>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</si>
  <si>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</si>
  <si>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</si>
  <si>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</si>
  <si>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</si>
  <si>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</si>
  <si>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</si>
  <si>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</si>
  <si>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</si>
  <si>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</si>
  <si>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</si>
  <si>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</si>
  <si>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</si>
  <si>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</si>
  <si>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</si>
  <si>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</si>
  <si>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</si>
  <si>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</si>
  <si>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</si>
  <si>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</si>
  <si>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</si>
  <si>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</si>
  <si>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</si>
  <si>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</si>
  <si>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</si>
  <si>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</si>
  <si>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</si>
  <si>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</si>
  <si>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</si>
  <si>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</si>
  <si>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</si>
  <si>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</si>
  <si>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</si>
  <si>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</si>
  <si>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</si>
  <si>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</si>
  <si>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</si>
  <si>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</si>
  <si>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</si>
  <si>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</si>
  <si>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</si>
  <si>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</si>
  <si>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</si>
  <si>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</si>
  <si>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</si>
  <si>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</si>
  <si>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</si>
  <si>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</si>
  <si>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</si>
  <si>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</si>
  <si>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</si>
  <si>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</si>
  <si>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</si>
  <si>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</si>
  <si>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</si>
  <si>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</si>
  <si>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</si>
  <si>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</si>
  <si>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</si>
  <si>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</si>
  <si>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</si>
  <si>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</si>
  <si>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</si>
  <si>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</si>
  <si>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</si>
  <si>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</si>
  <si>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</si>
  <si>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</si>
  <si>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</si>
  <si>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</si>
  <si>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</si>
  <si>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</si>
  <si>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</si>
  <si>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</si>
  <si>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</si>
  <si>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</si>
  <si>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</si>
  <si>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</si>
  <si>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</si>
  <si>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</si>
  <si>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</si>
  <si>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</si>
  <si>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</si>
  <si>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</si>
  <si>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</si>
  <si>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</si>
  <si>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</si>
  <si>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</si>
  <si>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</si>
  <si>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</si>
  <si>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</si>
  <si>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</si>
  <si>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</si>
  <si>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</si>
  <si>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</si>
  <si>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</si>
  <si>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</si>
  <si>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</si>
  <si>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</si>
  <si>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</si>
  <si>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</si>
  <si>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</si>
  <si>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</si>
  <si>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</si>
  <si>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</si>
  <si>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</si>
  <si>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</si>
  <si>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</si>
  <si>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</si>
  <si>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</si>
  <si>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</si>
  <si>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</si>
  <si>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</si>
  <si>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</si>
  <si>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</si>
  <si>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</si>
  <si>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</si>
  <si>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</si>
  <si>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</si>
  <si>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</si>
  <si>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</si>
  <si>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</si>
  <si>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</si>
  <si>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</si>
  <si>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</si>
  <si>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</si>
  <si>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</si>
  <si>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</si>
  <si>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</si>
  <si>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</si>
  <si>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</si>
  <si>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</si>
  <si>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</si>
  <si>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</si>
  <si>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</si>
  <si>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</si>
  <si>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</si>
  <si>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</si>
  <si>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</si>
  <si>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</si>
  <si>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</si>
  <si>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</si>
  <si>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</si>
  <si>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</si>
  <si>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</si>
  <si>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</si>
  <si>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</si>
  <si>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</si>
  <si>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</si>
  <si>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</si>
  <si>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</si>
  <si>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</si>
  <si>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</si>
  <si>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</si>
  <si>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</si>
  <si>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</si>
  <si>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</si>
  <si>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</si>
  <si>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</si>
  <si>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</si>
  <si>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</si>
  <si>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</si>
  <si>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</si>
  <si>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</si>
  <si>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</si>
  <si>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</si>
  <si>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</si>
  <si>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</si>
  <si>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</si>
  <si>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</si>
  <si>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</si>
  <si>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</si>
  <si>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</si>
  <si>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</si>
  <si>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</si>
  <si>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</si>
  <si>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</si>
  <si>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</si>
  <si>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</si>
  <si>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</si>
  <si>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</si>
  <si>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</si>
  <si>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</si>
  <si>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</si>
  <si>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</si>
  <si>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</si>
  <si>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</si>
  <si>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</si>
  <si>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</si>
  <si>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</si>
  <si>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</si>
  <si>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</si>
  <si>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</si>
  <si>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</si>
  <si>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</si>
  <si>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</si>
  <si>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</si>
  <si>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</si>
  <si>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</si>
  <si>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</si>
  <si>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</si>
  <si>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</si>
  <si>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</si>
  <si>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</si>
  <si>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</si>
  <si>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</si>
  <si>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</si>
  <si>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</si>
  <si>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</si>
  <si>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</si>
  <si>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</si>
  <si>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</si>
  <si>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</si>
  <si>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</si>
  <si>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</si>
  <si>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</si>
  <si>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</si>
  <si>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</si>
  <si>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</si>
  <si>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</si>
  <si>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</si>
  <si>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</si>
  <si>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</si>
  <si>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</si>
  <si>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</si>
  <si>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</si>
  <si>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</si>
  <si>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</si>
  <si>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</si>
  <si>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</si>
  <si>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</si>
  <si>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</si>
  <si>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</si>
  <si>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</si>
  <si>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</si>
  <si>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</si>
  <si>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</si>
  <si>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</si>
  <si>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</si>
  <si>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</si>
  <si>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</si>
  <si>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</si>
  <si>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</si>
  <si>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</si>
  <si>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</si>
  <si>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</si>
  <si>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</si>
  <si>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</si>
  <si>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</si>
  <si>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</si>
  <si>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</si>
  <si>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</si>
  <si>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</si>
  <si>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</si>
  <si>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</si>
  <si>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</si>
  <si>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</si>
  <si>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</si>
  <si>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</si>
  <si>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</si>
  <si>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</si>
  <si>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</si>
  <si>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</si>
  <si>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</si>
  <si>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</si>
  <si>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</si>
  <si>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</si>
  <si>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</si>
  <si>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</si>
  <si>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</si>
  <si>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</si>
  <si>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</si>
  <si>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</si>
  <si>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</si>
  <si>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</si>
  <si>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</si>
  <si>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</si>
  <si>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</si>
  <si>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</si>
  <si>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</si>
  <si>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</si>
  <si>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</si>
  <si>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</si>
  <si>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</si>
  <si>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</si>
  <si>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</si>
  <si>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</si>
  <si>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</si>
  <si>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</si>
  <si>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</si>
  <si>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</si>
  <si>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</si>
  <si>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</si>
  <si>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</si>
  <si>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</si>
  <si>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</si>
  <si>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</si>
  <si>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</si>
  <si>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</si>
  <si>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</si>
  <si>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</si>
  <si>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</si>
  <si>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</si>
  <si>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</si>
  <si>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</si>
  <si>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Т-1, Т-2</t>
  </si>
  <si>
    <t>Строительство РТП 10/0,4 кВ и 3-х КТП 10/0,4 кВ (новых), КЛ-10 кВ от ПС О-35 "Космодемьянская" и от РТП (новой) в Центральном районе г. Калининграда</t>
  </si>
  <si>
    <t>РТП новая</t>
  </si>
  <si>
    <t>КТП-4 новая</t>
  </si>
  <si>
    <t>КТП-8-2 новая</t>
  </si>
  <si>
    <t>КТП-8-1 новая</t>
  </si>
  <si>
    <t>2 КЛ-10 кВ от КТП-4 до КТП-8-2</t>
  </si>
  <si>
    <t>8979/12/15 д/с № 1 от 25.05.2016</t>
  </si>
  <si>
    <t>Калининградская обл, Калининград г, Центральный район</t>
  </si>
  <si>
    <t>Наружное освещение и светофорное оборудование магистральных дорог и улиц</t>
  </si>
  <si>
    <t xml:space="preserve">1)-НИЖНИЕ КОНТАКТНЫЕ СТОЙКИ ПН НА I-ой СЕКЦИИ РУ-0,4 кВ ТП новых (п.10.5) (количество точек присоединения определяется на стадии разработки проектной </t>
  </si>
  <si>
    <t>0.4 кВ</t>
  </si>
  <si>
    <t>8976/12/15 д/с № 1 от 25.05.2016</t>
  </si>
  <si>
    <t>Насосы ливневых очистных сооружений (ЛОС) и канализационных сооружений (КНС)</t>
  </si>
  <si>
    <t xml:space="preserve">1)-НИЖНИЕ КОНТАКТНЫЕ СТОЙКИ ПН НА I-ой СЕКЦИИ РУ-0,4 кВ РТП нового (п.10.3), ТП новых (п.10.5) (количество точек присоединения определяется на стадии </t>
  </si>
  <si>
    <t>2 КЛ-10 кВ от ЗРУ-10 О-35 до РТП-8 новой</t>
  </si>
  <si>
    <t>2 КЛ-10 кВ от РТП-8 нового до КТП-8-1</t>
  </si>
  <si>
    <t>2 КЛ-10 кВ от РТП-8 нового до КТП-4</t>
  </si>
  <si>
    <t>Д/с отправлено в архив</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</si>
  <si>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</si>
  <si>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</si>
  <si>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BB/TEL-10 кВ 1000А 20</t>
  </si>
  <si>
    <t>11 шт.</t>
  </si>
  <si>
    <t>2017</t>
  </si>
  <si>
    <t>2 шт.</t>
  </si>
  <si>
    <t>ПС О-35 "Космодемьянская"</t>
  </si>
  <si>
    <t>выбрать строки и скрыть столбец</t>
  </si>
  <si>
    <t>корректировка</t>
  </si>
  <si>
    <t>ПСД</t>
  </si>
  <si>
    <t>Н_16-0190</t>
  </si>
  <si>
    <t>Увеличение объема услуг по договорам технологического присоединения</t>
  </si>
  <si>
    <t>отсутствуют</t>
  </si>
  <si>
    <r>
      <t>другое</t>
    </r>
    <r>
      <rPr>
        <vertAlign val="superscript"/>
        <sz val="12"/>
        <rFont val="Times New Roman"/>
        <family val="1"/>
        <charset val="204"/>
      </rPr>
      <t>3)</t>
    </r>
    <r>
      <rPr>
        <sz val="12"/>
        <rFont val="Times New Roman"/>
        <family val="1"/>
        <charset val="204"/>
      </rPr>
      <t>, шт.</t>
    </r>
  </si>
  <si>
    <t>новое строительство</t>
  </si>
  <si>
    <t>ПСД - ООО "Азимут-Электропроект" дог.328 от 23.05.16</t>
  </si>
  <si>
    <t>ООО "БалтЭнергоКомплект" дог.02/06/2016 от 24.06.16 материалы; ООО "ТД "УНКОМТЕХ" дог.ЦЗСП-12 от 27.06.16 ) кабель; ООО "Вита-Строй" дог.671 от 24.10.16 СМР</t>
  </si>
  <si>
    <t>ООО "ОЭнТ-Центр" дог.3802 от 14.06.16; ООО "Таврида Электрик СПб" дог.Д-200К-16 от 21.06.16; ООО "Невский Трансформаторный завод "Волхов" дог.ГП/4 от 22.08.16; ООО "ОЭнТ-Центр" дог.3860 от 24.06.16</t>
  </si>
  <si>
    <t>АО "Янтарьэнерго"/ДЛиМТО</t>
  </si>
  <si>
    <t>АО "Янтарьэнерго"/ДКС</t>
  </si>
  <si>
    <t>МТРиО</t>
  </si>
  <si>
    <t>«Поставка выключателей 6-35 кВ» для осуществления технологического присоединения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t>
  </si>
  <si>
    <t>ЗЗП ОКП РС</t>
  </si>
  <si>
    <t>"ТЭЛСПб" ООО</t>
  </si>
  <si>
    <t>647407</t>
  </si>
  <si>
    <t>b2b-mrsk.ru</t>
  </si>
  <si>
    <t>29.04.2016</t>
  </si>
  <si>
    <t>16.05.2016</t>
  </si>
  <si>
    <t>21.06.2016</t>
  </si>
  <si>
    <t>"Янтарьэнергосервис" ОАО</t>
  </si>
  <si>
    <t>«Поставка силового кабеля на напряжение до 20 кВ» для исполнения договорных обязательств Общества по технологическому присоединению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t>
  </si>
  <si>
    <t>ОЗП</t>
  </si>
  <si>
    <t>"Торговый дом "УНКОМТЕХ" ООО</t>
  </si>
  <si>
    <t>645976</t>
  </si>
  <si>
    <t>27.04.2016</t>
  </si>
  <si>
    <t>13.05.2016</t>
  </si>
  <si>
    <t>Признана несостоявшейся</t>
  </si>
  <si>
    <t xml:space="preserve"> Поставка Комплектного модульного РП 10 кВ в бетонном корпусе для объекта: «Строительство РТП-10/0,4 кВ (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 для нужд АО «Янтарьэнерго».
</t>
  </si>
  <si>
    <t>ООК</t>
  </si>
  <si>
    <t>"ОЭнТ-Центр" ООО</t>
  </si>
  <si>
    <t>49052</t>
  </si>
  <si>
    <t>20.04.2016</t>
  </si>
  <si>
    <t>11.05.2016</t>
  </si>
  <si>
    <t>ИП Калмыков А.И.</t>
  </si>
  <si>
    <t>"ПО Элтехника" АО</t>
  </si>
  <si>
    <t>НПО "Сибэлектрощит" ООО</t>
  </si>
  <si>
    <t>"ЭЛТЭРА" ООО</t>
  </si>
  <si>
    <t xml:space="preserve">Поставка кабельных муфт на напряжение до 35 кВ» для исполнения договорных обязательств Общества по технологическому присоединению по объекту «Строительство РТП-10/0,4 кВ (нового), трех ТП 10/0,4 (новых), 2-х КЛ 10 кВ от ЗРУ 10 кВ ПС О-35 Космодемьянская до РТП, ТП новых в Центральном районе г. Калининграда (кад. № КН 39:15:000000:2428) (взамен ТЗ № 57.СЭРС.2015/ЗЭС-26)».
</t>
  </si>
  <si>
    <t>"БЭК" ООО</t>
  </si>
  <si>
    <t>642774</t>
  </si>
  <si>
    <t>06.05.2016</t>
  </si>
  <si>
    <t>"Трансэнерго" ООО</t>
  </si>
  <si>
    <t>"ГЕРМЕС" ООО</t>
  </si>
  <si>
    <t>"Импэкс Электро" ООО</t>
  </si>
  <si>
    <t>"Балтийская Кабельная Компания" ООО</t>
  </si>
  <si>
    <t>СМР</t>
  </si>
  <si>
    <t>СМР с поставкой оборудования по объекту: «Строительство РТП 10/0,4 кВ и 3-х КТП 10/0,4 кВ (новых), КЛ-10 кВ от ПС О-35 "Космодемьянская" и от РТП (новой) в Центральном районе г. Калининграда».</t>
  </si>
  <si>
    <t>"Вита-Строй" ООО</t>
  </si>
  <si>
    <t>50275</t>
  </si>
  <si>
    <t>31.08.2016</t>
  </si>
  <si>
    <t>21.09.2016</t>
  </si>
  <si>
    <t>"НОРЭНС Групп" ООО</t>
  </si>
  <si>
    <t>ЗЗП ОКП РС ЕП</t>
  </si>
  <si>
    <t>"ТД "УНКОМТЕХ" ООО</t>
  </si>
  <si>
    <t>655700</t>
  </si>
  <si>
    <t>20.05.2016</t>
  </si>
  <si>
    <t>06.06.2016</t>
  </si>
  <si>
    <t>п.7.5.5</t>
  </si>
  <si>
    <t>Закупочная комиссия</t>
  </si>
  <si>
    <t>01.07.2016</t>
  </si>
  <si>
    <t>655700-И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</si>
  <si>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</si>
  <si>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Факт 2015</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</si>
  <si>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</si>
  <si>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</si>
  <si>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</si>
  <si>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</si>
  <si>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t>Строительство РТП 10/0.4 кВ (новой) с трансформаторами 2х630 кВА, 3х КТП 10/0.4 кВ (новых) с трансформаторами 2х400 кВА, 2х400 кВА, 2х100 кВА, 8 КЛ-10 кВ протяженностью 2х7,43 км</t>
  </si>
  <si>
    <t>утв</t>
  </si>
  <si>
    <t>З</t>
  </si>
  <si>
    <t>Принят к бухгалтерскому учету</t>
  </si>
  <si>
    <t>ПСД, утвержденная приказом 338/1 от 26.12.2017</t>
  </si>
  <si>
    <t>Принят к бухгалтерскому учету, оформлен акт приемки законченного строительством объекта № 987/1028, 988/1028 от 29.12.2017</t>
  </si>
  <si>
    <t>Комплектное модульное РП 10 кВ в бетонном корпусе 25 БКРТП (М)-630/10/0,4-УХЛ-1, Выключатель вакуумный BB/TEL-10-20-1000 У2-2шт., КТП 10/0,4 кВ с двумя ТМГ 400 кВА 10/0,4 кВ в бетонном корпусе, КТП 10/0,4 кВ с двумя ТМГ 400 кВА 10/0,4 кВ в бетонном корпусе</t>
  </si>
  <si>
    <t>Договоры на технологическое присоединение №8976/12/15 д/с № 1 от 25.05.2016; №8979/12/15 д/с № 1 от 25.05.2016;
Постановление Правительства Российской Федерации от 27 декабря 2004 г. № 861;
Техническое задание №108-2016/ГЭС от 01.06.2016</t>
  </si>
  <si>
    <t>не относится</t>
  </si>
  <si>
    <t xml:space="preserve"> по состоянию на 01.01.2018</t>
  </si>
  <si>
    <t>Сметная стоимость проекта в ценах 2017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</si>
  <si>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</si>
  <si>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</si>
  <si>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Вита-Строй  договор  № 671  от  24/10/16   в ценах 2016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</si>
  <si>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</si>
  <si>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</si>
  <si>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</si>
  <si>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Таврида Электрик СПб   договор  № Д-200К-16    от  21/06/16-   в ценах 2016 года с НДС, млн рублей</t>
  </si>
  <si>
    <t>ОЭнТ-Центр     договор  № 3802  от  14/06/16-   в ценах 2016 года с НДС, млн рублей</t>
  </si>
  <si>
    <t>Невский трансформаторный завод "Волхов"     договор  № ГП/4                   от  22/08/2016-   в ценах 2016 года с НДС, млн рублей</t>
  </si>
  <si>
    <t>ОБ   ОЭнТ-Центр    договор № 3860 от 24/06/16- в ценах 2016 года с НДС, млн рублей</t>
  </si>
  <si>
    <t>Азимут-Электропроект  договор  № 328  от  23/05/16  в ценах 2016 года с НДС, млн рублей</t>
  </si>
  <si>
    <t>БалтЭнергоКомплект  договор  № 02/06/2016  от  24/06/16  в ценах 2016 года с НДС, млн рублей</t>
  </si>
  <si>
    <t>УНКОМТЕХ  договор  № ЦЗСП-12  от  27/06/16   в ценах 2016 года с НДС, млн рублей</t>
  </si>
  <si>
    <t>Учебно-методический кабинет Ростехнадзора  договор  № дог.684/440 от 02.11.16г.  в ценах 2016 года с НДС, млн рублей</t>
  </si>
  <si>
    <t>КЛ 10 кВ 3,145 млн рублей/км
ТП 10/0,4 кВ 13,882 млн рублей/МВА</t>
  </si>
  <si>
    <r>
      <t>∆P</t>
    </r>
    <r>
      <rPr>
        <vertAlign val="superscript"/>
        <sz val="11"/>
        <color theme="1"/>
        <rFont val="Calibri"/>
        <family val="2"/>
        <charset val="204"/>
        <scheme val="minor"/>
      </rPr>
      <t>10</t>
    </r>
    <r>
      <rPr>
        <sz val="11"/>
        <color theme="1"/>
        <rFont val="Calibri"/>
        <family val="2"/>
        <scheme val="minor"/>
      </rPr>
      <t>тп_тр = 3,06 МВА; ∆L</t>
    </r>
    <r>
      <rPr>
        <vertAlign val="superscript"/>
        <sz val="11"/>
        <color theme="1"/>
        <rFont val="Calibri"/>
        <family val="2"/>
        <charset val="204"/>
        <scheme val="minor"/>
      </rPr>
      <t>10</t>
    </r>
    <r>
      <rPr>
        <sz val="11"/>
        <color theme="1"/>
        <rFont val="Calibri"/>
        <family val="2"/>
        <scheme val="minor"/>
      </rPr>
      <t>тп_лэп = 7,43 км; 
S</t>
    </r>
    <r>
      <rPr>
        <vertAlign val="superscript"/>
        <sz val="11"/>
        <color theme="1"/>
        <rFont val="Calibri"/>
        <family val="2"/>
        <charset val="204"/>
        <scheme val="minor"/>
      </rPr>
      <t>ТП</t>
    </r>
    <r>
      <rPr>
        <sz val="11"/>
        <color theme="1"/>
        <rFont val="Calibri"/>
        <family val="2"/>
        <scheme val="minor"/>
      </rPr>
      <t>потр = 1,2 МВт;
Nсд_тпр = 2 договора;
Фтз = 116,55 млн рублей</t>
    </r>
  </si>
  <si>
    <t>Другое, штук</t>
  </si>
  <si>
    <t>Увеличение сметной стоимости обусловлено изменением технических характеристик объекта (переутвердили ПСД).</t>
  </si>
  <si>
    <r>
      <t>Другое</t>
    </r>
    <r>
      <rPr>
        <vertAlign val="superscript"/>
        <sz val="12"/>
        <rFont val="Times New Roman"/>
        <family val="1"/>
        <charset val="204"/>
      </rPr>
      <t>3)</t>
    </r>
    <r>
      <rPr>
        <sz val="12"/>
        <rFont val="Times New Roman"/>
        <family val="1"/>
        <charset val="204"/>
      </rPr>
      <t>, штуки</t>
    </r>
  </si>
  <si>
    <t>Городской округ "Город Калининград"</t>
  </si>
  <si>
    <t>Год раскрытия информации: 2020 год</t>
  </si>
  <si>
    <t>2020</t>
  </si>
  <si>
    <t>7,43 (7,43) км, 3,06 (3,06) МВА</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</si>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</sst>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sz val="12"/>
      <color rgb="FFFF0000"/>
      <name val="Times New Roman"/>
      <family val="1"/>
      <charset val="204"/>
    </font>
    <font>
      <vertAlign val="superscript"/>
      <sz val="12"/>
      <name val="Times New Roman"/>
      <family val="1"/>
      <charset val="204"/>
    </font>
    <font>
      <b/>
      <u/>
      <sz val="14"/>
      <name val="Times New Roman"/>
      <family val="1"/>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4" fontId="7" fillId="0" borderId="0" xfId="67" applyNumberFormat="1" applyFont="1" applyFill="1" applyAlignment="1">
      <alignment vertical="center"/>
    </xf>
    <xf numFmtId="0" fontId="70"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46" xfId="67" applyNumberFormat="1" applyFont="1" applyFill="1" applyBorder="1" applyAlignment="1">
      <alignment vertical="center"/>
    </xf>
    <xf numFmtId="3" fontId="40" fillId="0" borderId="46" xfId="67" applyNumberFormat="1" applyFont="1" applyFill="1" applyBorder="1" applyAlignment="1">
      <alignment vertical="center"/>
    </xf>
    <xf numFmtId="3" fontId="41" fillId="0" borderId="46" xfId="67" applyNumberFormat="1" applyFont="1" applyFill="1" applyBorder="1" applyAlignment="1">
      <alignment vertical="center"/>
    </xf>
    <xf numFmtId="171" fontId="40" fillId="0" borderId="46" xfId="67" applyNumberFormat="1" applyFont="1" applyFill="1" applyBorder="1" applyAlignment="1">
      <alignment horizontal="center" vertical="center"/>
    </xf>
    <xf numFmtId="172" fontId="41" fillId="0" borderId="46" xfId="67" applyNumberFormat="1" applyFont="1" applyFill="1" applyBorder="1" applyAlignment="1">
      <alignment vertical="center"/>
    </xf>
    <xf numFmtId="173" fontId="41" fillId="0" borderId="46" xfId="67" applyNumberFormat="1" applyFont="1" applyFill="1" applyBorder="1" applyAlignment="1">
      <alignment vertical="center"/>
    </xf>
    <xf numFmtId="0" fontId="44" fillId="0" borderId="46" xfId="62" applyBorder="1" applyAlignment="1">
      <alignment horizontal="center" vertical="center" wrapText="1"/>
    </xf>
    <xf numFmtId="0" fontId="44" fillId="25" borderId="46" xfId="62" applyFill="1" applyBorder="1" applyAlignment="1">
      <alignment horizontal="center" vertical="center"/>
    </xf>
    <xf numFmtId="0" fontId="44" fillId="0" borderId="46" xfId="62" applyBorder="1" applyAlignment="1">
      <alignment horizontal="center" vertical="center"/>
    </xf>
    <xf numFmtId="0" fontId="44" fillId="0" borderId="46" xfId="62" applyBorder="1" applyAlignment="1">
      <alignment horizontal="left" vertical="center" wrapText="1"/>
    </xf>
    <xf numFmtId="4" fontId="44" fillId="0" borderId="46" xfId="62" applyNumberFormat="1" applyBorder="1" applyAlignment="1">
      <alignment horizontal="center" vertical="center"/>
    </xf>
    <xf numFmtId="0" fontId="44" fillId="25" borderId="46" xfId="62" applyFill="1" applyBorder="1" applyAlignment="1">
      <alignment horizontal="center" vertical="center" wrapText="1"/>
    </xf>
    <xf numFmtId="9" fontId="0" fillId="0" borderId="46" xfId="68" applyFont="1" applyBorder="1" applyAlignment="1">
      <alignment horizontal="left" vertical="center" wrapText="1"/>
    </xf>
    <xf numFmtId="9" fontId="0" fillId="0" borderId="46" xfId="68" applyFont="1" applyBorder="1" applyAlignment="1">
      <alignment horizontal="center" vertical="center"/>
    </xf>
    <xf numFmtId="9" fontId="44" fillId="25" borderId="46" xfId="68" applyFont="1" applyFill="1" applyBorder="1" applyAlignment="1">
      <alignment horizontal="center" vertical="center"/>
    </xf>
    <xf numFmtId="0" fontId="44" fillId="26" borderId="46" xfId="62" applyFill="1" applyBorder="1" applyAlignment="1">
      <alignment horizontal="center" vertical="center" wrapText="1"/>
    </xf>
    <xf numFmtId="0" fontId="44" fillId="0" borderId="46" xfId="62" applyFill="1" applyBorder="1" applyAlignment="1">
      <alignment horizontal="center" vertical="center" wrapText="1"/>
    </xf>
    <xf numFmtId="0" fontId="44" fillId="0" borderId="46" xfId="62" applyBorder="1" applyAlignment="1">
      <alignment wrapText="1"/>
    </xf>
    <xf numFmtId="0" fontId="44" fillId="0" borderId="46" xfId="62" applyBorder="1"/>
    <xf numFmtId="0" fontId="44" fillId="0" borderId="46" xfId="62" applyBorder="1" applyAlignment="1">
      <alignment horizontal="left" wrapText="1"/>
    </xf>
    <xf numFmtId="0" fontId="61" fillId="0" borderId="46" xfId="62" applyFont="1" applyBorder="1" applyAlignment="1">
      <alignment wrapText="1"/>
    </xf>
    <xf numFmtId="0" fontId="61" fillId="0" borderId="46" xfId="62" applyFont="1" applyBorder="1"/>
    <xf numFmtId="10" fontId="61" fillId="25" borderId="46" xfId="62" applyNumberFormat="1" applyFont="1" applyFill="1" applyBorder="1"/>
    <xf numFmtId="10" fontId="61" fillId="0" borderId="46" xfId="62" applyNumberFormat="1" applyFont="1" applyBorder="1"/>
    <xf numFmtId="0" fontId="61" fillId="0" borderId="48" xfId="62" applyFont="1" applyFill="1" applyBorder="1"/>
    <xf numFmtId="10" fontId="61" fillId="0" borderId="48" xfId="62" applyNumberFormat="1" applyFont="1" applyFill="1" applyBorder="1"/>
    <xf numFmtId="3" fontId="7" fillId="0" borderId="46" xfId="67" applyNumberFormat="1" applyFont="1" applyFill="1" applyBorder="1" applyAlignment="1">
      <alignment horizontal="right" vertical="center"/>
    </xf>
    <xf numFmtId="168" fontId="36" fillId="0" borderId="46"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11" fillId="0" borderId="46" xfId="0" applyFont="1" applyBorder="1" applyAlignment="1">
      <alignment horizontal="center" vertical="center" wrapText="1"/>
    </xf>
    <xf numFmtId="0" fontId="11" fillId="0" borderId="46" xfId="0" applyFont="1" applyBorder="1" applyAlignment="1">
      <alignment horizontal="center" vertical="center"/>
    </xf>
    <xf numFmtId="0" fontId="7" fillId="0" borderId="46" xfId="1" applyFont="1" applyBorder="1" applyAlignment="1">
      <alignment horizontal="center" vertical="center"/>
    </xf>
    <xf numFmtId="169" fontId="7" fillId="0" borderId="46" xfId="1" applyNumberFormat="1" applyFont="1" applyBorder="1" applyAlignment="1">
      <alignment horizontal="center" vertical="center"/>
    </xf>
    <xf numFmtId="175" fontId="40" fillId="0" borderId="30" xfId="2" applyNumberFormat="1"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39" fillId="0" borderId="46" xfId="2" applyNumberFormat="1" applyFont="1" applyFill="1" applyBorder="1" applyAlignment="1">
      <alignment horizontal="center" vertical="center" wrapText="1"/>
    </xf>
    <xf numFmtId="0" fontId="11" fillId="0" borderId="46" xfId="2" applyFont="1" applyFill="1" applyBorder="1" applyAlignment="1">
      <alignment vertical="center" wrapText="1"/>
    </xf>
    <xf numFmtId="0" fontId="40" fillId="28" borderId="30" xfId="2" applyFont="1" applyFill="1" applyBorder="1" applyAlignment="1">
      <alignment horizontal="justify" vertical="top" wrapText="1"/>
    </xf>
    <xf numFmtId="0" fontId="7" fillId="0" borderId="0" xfId="1" applyFont="1" applyAlignment="1">
      <alignment horizontal="center" vertical="center"/>
    </xf>
    <xf numFmtId="0" fontId="7" fillId="0" borderId="46" xfId="1" applyFont="1" applyBorder="1" applyAlignment="1">
      <alignment horizontal="center" vertical="center" wrapText="1"/>
    </xf>
    <xf numFmtId="0" fontId="63" fillId="0" borderId="46" xfId="1" applyFont="1" applyBorder="1" applyAlignment="1">
      <alignment horizontal="left" vertical="top" wrapText="1"/>
    </xf>
    <xf numFmtId="2" fontId="45" fillId="27" borderId="46" xfId="0" applyNumberFormat="1" applyFont="1" applyFill="1" applyBorder="1" applyAlignment="1">
      <alignment horizontal="left"/>
    </xf>
    <xf numFmtId="0" fontId="11" fillId="0" borderId="46" xfId="62" applyFont="1" applyBorder="1" applyAlignment="1">
      <alignment horizontal="left" vertical="center" wrapText="1"/>
    </xf>
    <xf numFmtId="0" fontId="11" fillId="0" borderId="1" xfId="62" applyFont="1" applyBorder="1" applyAlignment="1">
      <alignment horizontal="center" vertical="center" wrapText="1"/>
    </xf>
    <xf numFmtId="0" fontId="11" fillId="0" borderId="46" xfId="62" applyNumberFormat="1" applyFont="1" applyBorder="1" applyAlignment="1">
      <alignment vertical="center"/>
    </xf>
    <xf numFmtId="0" fontId="42" fillId="0" borderId="1" xfId="2" applyFont="1" applyFill="1" applyBorder="1" applyAlignment="1">
      <alignment horizontal="center" vertical="center" wrapText="1"/>
    </xf>
    <xf numFmtId="176" fontId="71" fillId="0" borderId="1" xfId="2" applyNumberFormat="1" applyFont="1" applyFill="1" applyBorder="1" applyAlignment="1">
      <alignment horizontal="center" vertical="center" wrapText="1"/>
    </xf>
    <xf numFmtId="177" fontId="37" fillId="0" borderId="1" xfId="49" applyNumberFormat="1"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0" fillId="0" borderId="0" xfId="0"/>
    <xf numFmtId="0" fontId="3" fillId="0" borderId="0" xfId="1" applyBorder="1"/>
    <xf numFmtId="14" fontId="11" fillId="0" borderId="46" xfId="2" applyNumberFormat="1" applyFont="1" applyFill="1" applyBorder="1" applyAlignment="1">
      <alignment horizontal="center" vertical="center" wrapText="1"/>
    </xf>
    <xf numFmtId="0" fontId="11" fillId="0" borderId="46" xfId="2" applyNumberFormat="1" applyFont="1" applyFill="1" applyBorder="1" applyAlignment="1">
      <alignment horizontal="center" vertical="center" wrapText="1"/>
    </xf>
    <xf numFmtId="0" fontId="11" fillId="0" borderId="46" xfId="2" applyFont="1" applyFill="1" applyBorder="1" applyAlignment="1">
      <alignment horizontal="center" vertical="center"/>
    </xf>
    <xf numFmtId="176" fontId="39" fillId="0" borderId="46"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7" fillId="0" borderId="46" xfId="1" applyFont="1" applyBorder="1" applyAlignment="1">
      <alignment horizontal="left" vertical="center" wrapText="1"/>
    </xf>
    <xf numFmtId="0" fontId="7" fillId="0" borderId="46" xfId="1" applyFont="1" applyBorder="1" applyAlignment="1">
      <alignment vertical="center" wrapText="1"/>
    </xf>
    <xf numFmtId="0" fontId="11" fillId="0" borderId="46" xfId="45" applyFont="1" applyFill="1" applyBorder="1" applyAlignment="1">
      <alignment horizontal="left" vertical="center" wrapText="1"/>
    </xf>
    <xf numFmtId="175" fontId="40" fillId="29"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73"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6"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6" fontId="11" fillId="0" borderId="46"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42" fillId="0" borderId="0" xfId="2" applyFont="1"/>
    <xf numFmtId="176" fontId="11" fillId="0" borderId="46" xfId="45" applyNumberFormat="1" applyFont="1" applyFill="1" applyBorder="1" applyAlignment="1">
      <alignment horizontal="center" vertical="center" wrapText="1"/>
    </xf>
    <xf numFmtId="0" fontId="42" fillId="0" borderId="46" xfId="45" applyFont="1" applyFill="1" applyBorder="1" applyAlignment="1">
      <alignment horizontal="left" vertical="center" wrapText="1"/>
    </xf>
    <xf numFmtId="176" fontId="42" fillId="0" borderId="4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42" fillId="0" borderId="50"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4" fontId="40" fillId="0" borderId="34"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51"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1" xfId="1" applyNumberFormat="1" applyFont="1" applyBorder="1" applyAlignment="1">
      <alignment vertical="center"/>
    </xf>
    <xf numFmtId="0" fontId="4" fillId="0" borderId="51" xfId="1" applyNumberFormat="1" applyFont="1" applyBorder="1" applyAlignment="1">
      <alignment horizontal="center" vertical="center"/>
    </xf>
    <xf numFmtId="0" fontId="3" fillId="0" borderId="51" xfId="1" applyFill="1" applyBorder="1" applyAlignment="1">
      <alignment wrapText="1"/>
    </xf>
    <xf numFmtId="0" fontId="39" fillId="0" borderId="51" xfId="1" applyFont="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7" fillId="0" borderId="52" xfId="1" applyFont="1" applyFill="1" applyBorder="1" applyAlignment="1">
      <alignment horizontal="left" vertical="center" wrapText="1"/>
    </xf>
    <xf numFmtId="0" fontId="7" fillId="0" borderId="52" xfId="1" applyFont="1" applyFill="1" applyBorder="1" applyAlignment="1">
      <alignment vertical="center" wrapText="1"/>
    </xf>
    <xf numFmtId="176" fontId="42" fillId="0" borderId="53" xfId="2" applyNumberFormat="1" applyFont="1" applyFill="1" applyBorder="1" applyAlignment="1">
      <alignment horizontal="center" vertical="center" wrapText="1"/>
    </xf>
    <xf numFmtId="176" fontId="11" fillId="0" borderId="53"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0" fontId="40" fillId="0" borderId="0" xfId="2" applyFont="1" applyFill="1" applyAlignment="1">
      <alignment vertical="top" wrapText="1"/>
    </xf>
    <xf numFmtId="2" fontId="40" fillId="27" borderId="46" xfId="0" applyNumberFormat="1" applyFont="1" applyFill="1" applyBorder="1" applyAlignment="1">
      <alignment horizontal="left"/>
    </xf>
    <xf numFmtId="0" fontId="11" fillId="0" borderId="53" xfId="45"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1"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5" fillId="0" borderId="0" xfId="1" applyFont="1" applyAlignment="1">
      <alignment horizontal="center" vertical="center" wrapText="1"/>
    </xf>
    <xf numFmtId="0" fontId="39" fillId="0" borderId="0" xfId="1" applyFont="1" applyAlignment="1">
      <alignment horizontal="center" vertical="center"/>
    </xf>
    <xf numFmtId="0" fontId="44" fillId="0" borderId="47" xfId="62" applyBorder="1" applyAlignment="1">
      <alignment horizontal="center" vertical="center" wrapText="1"/>
    </xf>
    <xf numFmtId="0" fontId="44" fillId="0" borderId="49" xfId="62" applyBorder="1" applyAlignment="1">
      <alignment horizontal="center" vertical="center" wrapText="1"/>
    </xf>
    <xf numFmtId="164" fontId="8" fillId="0" borderId="0" xfId="1" applyNumberFormat="1" applyFont="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74" fillId="0" borderId="0" xfId="1" applyFont="1" applyAlignment="1">
      <alignment horizontal="center" vertical="center"/>
    </xf>
    <xf numFmtId="0" fontId="74" fillId="0" borderId="0" xfId="1" applyFont="1" applyAlignment="1">
      <alignment horizontal="center" vertical="center" wrapText="1"/>
    </xf>
    <xf numFmtId="0" fontId="42" fillId="0" borderId="46"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42" fillId="0" borderId="4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6" xfId="1"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1"/>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2"/>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35405024"/>
        <c:axId val="635420704"/>
      </c:lineChart>
      <c:catAx>
        <c:axId val="635405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5420704"/>
        <c:crosses val="autoZero"/>
        <c:auto val="1"/>
        <c:lblAlgn val="ctr"/>
        <c:lblOffset val="100"/>
        <c:noMultiLvlLbl val="0"/>
      </c:catAx>
      <c:valAx>
        <c:axId val="6354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5405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2" t="s">
        <v>66</v>
      </c>
      <c r="E1" s="391" t="s">
        <v>676</v>
      </c>
      <c r="F1" s="15"/>
      <c r="G1" s="15"/>
    </row>
    <row r="2" spans="1:22" s="11" customFormat="1" ht="18.75" customHeight="1" x14ac:dyDescent="0.3">
      <c r="A2" s="17"/>
      <c r="C2" s="14" t="s">
        <v>8</v>
      </c>
      <c r="E2" s="391"/>
      <c r="F2" s="15"/>
      <c r="G2" s="15"/>
    </row>
    <row r="3" spans="1:22" s="11" customFormat="1" ht="18.75" x14ac:dyDescent="0.3">
      <c r="A3" s="16"/>
      <c r="C3" s="14" t="s">
        <v>65</v>
      </c>
      <c r="E3" s="391"/>
      <c r="F3" s="15"/>
      <c r="G3" s="15"/>
    </row>
    <row r="4" spans="1:22" s="11" customFormat="1" ht="18.75" x14ac:dyDescent="0.3">
      <c r="A4" s="16"/>
      <c r="E4" s="391"/>
      <c r="F4" s="15"/>
      <c r="G4" s="15"/>
      <c r="H4" s="14"/>
    </row>
    <row r="5" spans="1:22" s="11" customFormat="1" ht="15.75" x14ac:dyDescent="0.25">
      <c r="A5" s="395" t="s">
        <v>777</v>
      </c>
      <c r="B5" s="395"/>
      <c r="C5" s="395"/>
      <c r="D5" s="167"/>
      <c r="E5" s="391"/>
      <c r="F5" s="167"/>
      <c r="G5" s="167"/>
      <c r="H5" s="167"/>
      <c r="I5" s="167"/>
      <c r="J5" s="167"/>
    </row>
    <row r="6" spans="1:22" s="11" customFormat="1" ht="18.75" x14ac:dyDescent="0.3">
      <c r="A6" s="16"/>
      <c r="E6" s="391"/>
      <c r="F6" s="15"/>
      <c r="G6" s="15"/>
      <c r="H6" s="14"/>
    </row>
    <row r="7" spans="1:22" s="11" customFormat="1" ht="18.75" x14ac:dyDescent="0.2">
      <c r="A7" s="399" t="s">
        <v>7</v>
      </c>
      <c r="B7" s="399"/>
      <c r="C7" s="399"/>
      <c r="D7" s="12"/>
      <c r="E7" s="391"/>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391"/>
      <c r="F8" s="13"/>
      <c r="G8" s="13"/>
      <c r="H8" s="13"/>
      <c r="I8" s="12"/>
      <c r="J8" s="12"/>
      <c r="K8" s="12"/>
      <c r="L8" s="12"/>
      <c r="M8" s="12"/>
      <c r="N8" s="12"/>
      <c r="O8" s="12"/>
      <c r="P8" s="12"/>
      <c r="Q8" s="12"/>
      <c r="R8" s="12"/>
      <c r="S8" s="12"/>
      <c r="T8" s="12"/>
      <c r="U8" s="12"/>
      <c r="V8" s="12"/>
    </row>
    <row r="9" spans="1:22" s="11" customFormat="1" ht="18.75" x14ac:dyDescent="0.2">
      <c r="A9" s="400" t="s">
        <v>554</v>
      </c>
      <c r="B9" s="400"/>
      <c r="C9" s="400"/>
      <c r="D9" s="7"/>
      <c r="E9" s="391"/>
      <c r="F9" s="7"/>
      <c r="G9" s="7"/>
      <c r="H9" s="7"/>
      <c r="I9" s="12"/>
      <c r="J9" s="12"/>
      <c r="K9" s="12"/>
      <c r="L9" s="12"/>
      <c r="M9" s="12"/>
      <c r="N9" s="12"/>
      <c r="O9" s="12"/>
      <c r="P9" s="12"/>
      <c r="Q9" s="12"/>
      <c r="R9" s="12"/>
      <c r="S9" s="12"/>
      <c r="T9" s="12"/>
      <c r="U9" s="12"/>
      <c r="V9" s="12"/>
    </row>
    <row r="10" spans="1:22" s="11" customFormat="1" ht="18.75" x14ac:dyDescent="0.2">
      <c r="A10" s="396" t="s">
        <v>6</v>
      </c>
      <c r="B10" s="396"/>
      <c r="C10" s="396"/>
      <c r="D10" s="5"/>
      <c r="E10" s="391"/>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391"/>
      <c r="F11" s="13"/>
      <c r="G11" s="13"/>
      <c r="H11" s="13"/>
      <c r="I11" s="12"/>
      <c r="J11" s="12"/>
      <c r="K11" s="12"/>
      <c r="L11" s="12"/>
      <c r="M11" s="12"/>
      <c r="N11" s="12"/>
      <c r="O11" s="12"/>
      <c r="P11" s="12"/>
      <c r="Q11" s="12"/>
      <c r="R11" s="12"/>
      <c r="S11" s="12"/>
      <c r="T11" s="12"/>
      <c r="U11" s="12"/>
      <c r="V11" s="12"/>
    </row>
    <row r="12" spans="1:22" s="11" customFormat="1" ht="18.75" x14ac:dyDescent="0.2">
      <c r="A12" s="398" t="s">
        <v>679</v>
      </c>
      <c r="B12" s="398"/>
      <c r="C12" s="398"/>
      <c r="D12" s="7"/>
      <c r="E12" s="391"/>
      <c r="F12" s="7"/>
      <c r="G12" s="7"/>
      <c r="H12" s="7"/>
      <c r="I12" s="12"/>
      <c r="J12" s="12"/>
      <c r="K12" s="12"/>
      <c r="L12" s="12"/>
      <c r="M12" s="12"/>
      <c r="N12" s="12"/>
      <c r="O12" s="12"/>
      <c r="P12" s="12"/>
      <c r="Q12" s="12"/>
      <c r="R12" s="12"/>
      <c r="S12" s="12"/>
      <c r="T12" s="12"/>
      <c r="U12" s="12"/>
      <c r="V12" s="12"/>
    </row>
    <row r="13" spans="1:22" s="11" customFormat="1" ht="18.75" x14ac:dyDescent="0.2">
      <c r="A13" s="396" t="s">
        <v>5</v>
      </c>
      <c r="B13" s="396"/>
      <c r="C13" s="396"/>
      <c r="D13" s="5"/>
      <c r="E13" s="391"/>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391"/>
      <c r="F14" s="9"/>
      <c r="G14" s="9"/>
      <c r="H14" s="9"/>
      <c r="I14" s="9"/>
      <c r="J14" s="9"/>
      <c r="K14" s="9"/>
      <c r="L14" s="9"/>
      <c r="M14" s="9"/>
      <c r="N14" s="9"/>
      <c r="O14" s="9"/>
      <c r="P14" s="9"/>
      <c r="Q14" s="9"/>
      <c r="R14" s="9"/>
      <c r="S14" s="9"/>
      <c r="T14" s="9"/>
      <c r="U14" s="9"/>
      <c r="V14" s="9"/>
    </row>
    <row r="15" spans="1:22" s="3" customFormat="1" ht="31.5" customHeight="1" x14ac:dyDescent="0.2">
      <c r="A15" s="401" t="s">
        <v>651</v>
      </c>
      <c r="B15" s="402"/>
      <c r="C15" s="402"/>
      <c r="D15" s="7"/>
      <c r="E15" s="391"/>
      <c r="F15" s="7"/>
      <c r="G15" s="7"/>
      <c r="H15" s="7"/>
      <c r="I15" s="7"/>
      <c r="J15" s="7"/>
      <c r="K15" s="7"/>
      <c r="L15" s="7"/>
      <c r="M15" s="7"/>
      <c r="N15" s="7"/>
      <c r="O15" s="7"/>
      <c r="P15" s="7"/>
      <c r="Q15" s="7"/>
      <c r="R15" s="7"/>
      <c r="S15" s="7"/>
      <c r="T15" s="7"/>
      <c r="U15" s="7"/>
      <c r="V15" s="7"/>
    </row>
    <row r="16" spans="1:22" s="3" customFormat="1" ht="15" customHeight="1" x14ac:dyDescent="0.2">
      <c r="A16" s="396" t="s">
        <v>4</v>
      </c>
      <c r="B16" s="396"/>
      <c r="C16" s="396"/>
      <c r="D16" s="5"/>
      <c r="E16" s="391"/>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391"/>
      <c r="F17" s="4"/>
      <c r="G17" s="4"/>
      <c r="H17" s="4"/>
      <c r="I17" s="4"/>
      <c r="J17" s="4"/>
      <c r="K17" s="4"/>
      <c r="L17" s="4"/>
      <c r="M17" s="4"/>
      <c r="N17" s="4"/>
      <c r="O17" s="4"/>
      <c r="P17" s="4"/>
      <c r="Q17" s="4"/>
      <c r="R17" s="4"/>
      <c r="S17" s="4"/>
    </row>
    <row r="18" spans="1:22" s="3" customFormat="1" ht="15" customHeight="1" x14ac:dyDescent="0.2">
      <c r="A18" s="397" t="s">
        <v>505</v>
      </c>
      <c r="B18" s="398"/>
      <c r="C18" s="398"/>
      <c r="D18" s="6"/>
      <c r="E18" s="391"/>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391"/>
      <c r="F19" s="5"/>
      <c r="G19" s="5"/>
      <c r="H19" s="5"/>
      <c r="I19" s="4"/>
      <c r="J19" s="4"/>
      <c r="K19" s="4"/>
      <c r="L19" s="4"/>
      <c r="M19" s="4"/>
      <c r="N19" s="4"/>
      <c r="O19" s="4"/>
      <c r="P19" s="4"/>
      <c r="Q19" s="4"/>
      <c r="R19" s="4"/>
      <c r="S19" s="4"/>
    </row>
    <row r="20" spans="1:22" s="3" customFormat="1" ht="39.75" customHeight="1" x14ac:dyDescent="0.2">
      <c r="A20" s="28" t="s">
        <v>3</v>
      </c>
      <c r="B20" s="41" t="s">
        <v>64</v>
      </c>
      <c r="C20" s="40" t="s">
        <v>63</v>
      </c>
      <c r="D20" s="32"/>
      <c r="E20" s="391"/>
      <c r="F20" s="32"/>
      <c r="G20" s="32"/>
      <c r="H20" s="32"/>
      <c r="I20" s="31"/>
      <c r="J20" s="31"/>
      <c r="K20" s="31"/>
      <c r="L20" s="31"/>
      <c r="M20" s="31"/>
      <c r="N20" s="31"/>
      <c r="O20" s="31"/>
      <c r="P20" s="31"/>
      <c r="Q20" s="31"/>
      <c r="R20" s="31"/>
      <c r="S20" s="31"/>
      <c r="T20" s="30"/>
      <c r="U20" s="30"/>
      <c r="V20" s="30"/>
    </row>
    <row r="21" spans="1:22" s="3" customFormat="1" ht="16.5" customHeight="1" x14ac:dyDescent="0.2">
      <c r="A21" s="40">
        <v>1</v>
      </c>
      <c r="B21" s="41">
        <v>2</v>
      </c>
      <c r="C21" s="40">
        <v>3</v>
      </c>
      <c r="D21" s="32"/>
      <c r="E21" s="391"/>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4" t="s">
        <v>346</v>
      </c>
      <c r="C22" s="43" t="s">
        <v>569</v>
      </c>
      <c r="D22" s="32" t="s">
        <v>565</v>
      </c>
      <c r="E22" s="391"/>
      <c r="F22" s="32"/>
      <c r="G22" s="32"/>
      <c r="H22" s="32"/>
      <c r="I22" s="31"/>
      <c r="J22" s="31"/>
      <c r="K22" s="31"/>
      <c r="L22" s="31"/>
      <c r="M22" s="31"/>
      <c r="N22" s="31"/>
      <c r="O22" s="31"/>
      <c r="P22" s="31"/>
      <c r="Q22" s="31"/>
      <c r="R22" s="31"/>
      <c r="S22" s="31"/>
      <c r="T22" s="30"/>
      <c r="U22" s="30"/>
      <c r="V22" s="30"/>
    </row>
    <row r="23" spans="1:22" s="3" customFormat="1" ht="78.75" x14ac:dyDescent="0.2">
      <c r="A23" s="27" t="s">
        <v>61</v>
      </c>
      <c r="B23" s="39" t="s">
        <v>606</v>
      </c>
      <c r="C23" s="43" t="s">
        <v>740</v>
      </c>
      <c r="D23" s="32" t="s">
        <v>555</v>
      </c>
      <c r="E23" s="391"/>
      <c r="F23" s="32"/>
      <c r="G23" s="32"/>
      <c r="H23" s="32"/>
      <c r="I23" s="31"/>
      <c r="J23" s="31"/>
      <c r="K23" s="31"/>
      <c r="L23" s="31"/>
      <c r="M23" s="31"/>
      <c r="N23" s="31"/>
      <c r="O23" s="31"/>
      <c r="P23" s="31"/>
      <c r="Q23" s="31"/>
      <c r="R23" s="31"/>
      <c r="S23" s="31"/>
      <c r="T23" s="30"/>
      <c r="U23" s="30"/>
      <c r="V23" s="30"/>
    </row>
    <row r="24" spans="1:22" s="3" customFormat="1" ht="22.5" customHeight="1" x14ac:dyDescent="0.2">
      <c r="A24" s="392"/>
      <c r="B24" s="393"/>
      <c r="C24" s="394"/>
      <c r="D24" s="32"/>
      <c r="E24" s="391"/>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60</v>
      </c>
      <c r="B25" s="164" t="s">
        <v>454</v>
      </c>
      <c r="C25" s="38" t="s">
        <v>645</v>
      </c>
      <c r="D25" s="37"/>
      <c r="E25" s="391"/>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59</v>
      </c>
      <c r="B26" s="164" t="s">
        <v>72</v>
      </c>
      <c r="C26" s="38" t="s">
        <v>523</v>
      </c>
      <c r="D26" s="37"/>
      <c r="E26" s="391"/>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57</v>
      </c>
      <c r="B27" s="164" t="s">
        <v>71</v>
      </c>
      <c r="C27" s="253" t="s">
        <v>776</v>
      </c>
      <c r="D27" s="37"/>
      <c r="E27" s="391"/>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56</v>
      </c>
      <c r="B28" s="164" t="s">
        <v>455</v>
      </c>
      <c r="C28" s="38" t="s">
        <v>525</v>
      </c>
      <c r="D28" s="37"/>
      <c r="E28" s="391"/>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54</v>
      </c>
      <c r="B29" s="164" t="s">
        <v>456</v>
      </c>
      <c r="C29" s="38" t="s">
        <v>525</v>
      </c>
      <c r="D29" s="37"/>
      <c r="E29" s="391"/>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52</v>
      </c>
      <c r="B30" s="164" t="s">
        <v>457</v>
      </c>
      <c r="C30" s="38" t="s">
        <v>525</v>
      </c>
      <c r="D30" s="37"/>
      <c r="E30" s="391"/>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70</v>
      </c>
      <c r="B31" s="43" t="s">
        <v>458</v>
      </c>
      <c r="C31" s="38" t="s">
        <v>526</v>
      </c>
      <c r="D31" s="37"/>
      <c r="E31" s="391"/>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68</v>
      </c>
      <c r="B32" s="43" t="s">
        <v>459</v>
      </c>
      <c r="C32" s="38" t="s">
        <v>525</v>
      </c>
      <c r="D32" s="37"/>
      <c r="E32" s="391"/>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67</v>
      </c>
      <c r="B33" s="43" t="s">
        <v>460</v>
      </c>
      <c r="C33" s="381" t="s">
        <v>754</v>
      </c>
      <c r="D33" s="37"/>
      <c r="E33" s="391"/>
      <c r="F33" s="37"/>
      <c r="G33" s="37"/>
      <c r="H33" s="36"/>
      <c r="I33" s="36"/>
      <c r="J33" s="36"/>
      <c r="K33" s="36"/>
      <c r="L33" s="36"/>
      <c r="M33" s="36"/>
      <c r="N33" s="36"/>
      <c r="O33" s="36"/>
      <c r="P33" s="36"/>
      <c r="Q33" s="36"/>
      <c r="R33" s="36"/>
      <c r="S33" s="35"/>
      <c r="T33" s="35"/>
      <c r="U33" s="35"/>
      <c r="V33" s="35"/>
    </row>
    <row r="34" spans="1:22" ht="111" customHeight="1" x14ac:dyDescent="0.25">
      <c r="A34" s="27" t="s">
        <v>474</v>
      </c>
      <c r="B34" s="43" t="s">
        <v>461</v>
      </c>
      <c r="C34" s="382" t="s">
        <v>629</v>
      </c>
      <c r="D34" s="26"/>
      <c r="E34" s="391"/>
      <c r="F34" s="26"/>
      <c r="G34" s="26"/>
      <c r="H34" s="26"/>
      <c r="I34" s="26"/>
      <c r="J34" s="26"/>
      <c r="K34" s="26"/>
      <c r="L34" s="26"/>
      <c r="M34" s="26"/>
      <c r="N34" s="26"/>
      <c r="O34" s="26"/>
      <c r="P34" s="26"/>
      <c r="Q34" s="26"/>
      <c r="R34" s="26"/>
      <c r="S34" s="26"/>
      <c r="T34" s="26"/>
      <c r="U34" s="26"/>
      <c r="V34" s="26"/>
    </row>
    <row r="35" spans="1:22" ht="58.5" customHeight="1" x14ac:dyDescent="0.25">
      <c r="A35" s="27" t="s">
        <v>464</v>
      </c>
      <c r="B35" s="43" t="s">
        <v>69</v>
      </c>
      <c r="C35" s="28" t="s">
        <v>629</v>
      </c>
      <c r="D35" s="26"/>
      <c r="E35" s="391"/>
      <c r="F35" s="26"/>
      <c r="G35" s="26"/>
      <c r="H35" s="26"/>
      <c r="I35" s="26"/>
      <c r="J35" s="26"/>
      <c r="K35" s="26"/>
      <c r="L35" s="26"/>
      <c r="M35" s="26"/>
      <c r="N35" s="26"/>
      <c r="O35" s="26"/>
      <c r="P35" s="26"/>
      <c r="Q35" s="26"/>
      <c r="R35" s="26"/>
      <c r="S35" s="26"/>
      <c r="T35" s="26"/>
      <c r="U35" s="26"/>
      <c r="V35" s="26"/>
    </row>
    <row r="36" spans="1:22" ht="51.75" customHeight="1" x14ac:dyDescent="0.25">
      <c r="A36" s="27" t="s">
        <v>475</v>
      </c>
      <c r="B36" s="43" t="s">
        <v>462</v>
      </c>
      <c r="C36" s="28" t="s">
        <v>525</v>
      </c>
      <c r="D36" s="26"/>
      <c r="E36" s="391"/>
      <c r="F36" s="26"/>
      <c r="G36" s="26"/>
      <c r="H36" s="26"/>
      <c r="I36" s="26"/>
      <c r="J36" s="26"/>
      <c r="K36" s="26"/>
      <c r="L36" s="26"/>
      <c r="M36" s="26"/>
      <c r="N36" s="26"/>
      <c r="O36" s="26"/>
      <c r="P36" s="26"/>
      <c r="Q36" s="26"/>
      <c r="R36" s="26"/>
      <c r="S36" s="26"/>
      <c r="T36" s="26"/>
      <c r="U36" s="26"/>
      <c r="V36" s="26"/>
    </row>
    <row r="37" spans="1:22" ht="43.5" customHeight="1" x14ac:dyDescent="0.25">
      <c r="A37" s="27" t="s">
        <v>465</v>
      </c>
      <c r="B37" s="43" t="s">
        <v>463</v>
      </c>
      <c r="C37" s="28" t="s">
        <v>526</v>
      </c>
      <c r="D37" s="26"/>
      <c r="E37" s="391"/>
      <c r="F37" s="26"/>
      <c r="G37" s="26"/>
      <c r="H37" s="26"/>
      <c r="I37" s="26"/>
      <c r="J37" s="26"/>
      <c r="K37" s="26"/>
      <c r="L37" s="26"/>
      <c r="M37" s="26"/>
      <c r="N37" s="26"/>
      <c r="O37" s="26"/>
      <c r="P37" s="26"/>
      <c r="Q37" s="26"/>
      <c r="R37" s="26"/>
      <c r="S37" s="26"/>
      <c r="T37" s="26"/>
      <c r="U37" s="26"/>
      <c r="V37" s="26"/>
    </row>
    <row r="38" spans="1:22" ht="43.5" customHeight="1" x14ac:dyDescent="0.25">
      <c r="A38" s="27" t="s">
        <v>476</v>
      </c>
      <c r="B38" s="43" t="s">
        <v>227</v>
      </c>
      <c r="C38" s="28" t="s">
        <v>629</v>
      </c>
      <c r="D38" s="26"/>
      <c r="E38" s="391"/>
      <c r="F38" s="26"/>
      <c r="G38" s="26"/>
      <c r="H38" s="26"/>
      <c r="I38" s="26"/>
      <c r="J38" s="26"/>
      <c r="K38" s="26"/>
      <c r="L38" s="26"/>
      <c r="M38" s="26"/>
      <c r="N38" s="26"/>
      <c r="O38" s="26"/>
      <c r="P38" s="26"/>
      <c r="Q38" s="26"/>
      <c r="R38" s="26"/>
      <c r="S38" s="26"/>
      <c r="T38" s="26"/>
      <c r="U38" s="26"/>
      <c r="V38" s="26"/>
    </row>
    <row r="39" spans="1:22" ht="23.25" customHeight="1" x14ac:dyDescent="0.25">
      <c r="A39" s="392"/>
      <c r="B39" s="393"/>
      <c r="C39" s="394"/>
      <c r="D39" s="26"/>
      <c r="E39" s="391"/>
      <c r="F39" s="26"/>
      <c r="G39" s="26"/>
      <c r="H39" s="26"/>
      <c r="I39" s="26"/>
      <c r="J39" s="26"/>
      <c r="K39" s="26"/>
      <c r="L39" s="26"/>
      <c r="M39" s="26"/>
      <c r="N39" s="26"/>
      <c r="O39" s="26"/>
      <c r="P39" s="26"/>
      <c r="Q39" s="26"/>
      <c r="R39" s="26"/>
      <c r="S39" s="26"/>
      <c r="T39" s="26"/>
      <c r="U39" s="26"/>
      <c r="V39" s="26"/>
    </row>
    <row r="40" spans="1:22" ht="64.5" x14ac:dyDescent="0.25">
      <c r="A40" s="27" t="s">
        <v>466</v>
      </c>
      <c r="B40" s="43" t="s">
        <v>518</v>
      </c>
      <c r="C40" s="373" t="s">
        <v>772</v>
      </c>
      <c r="D40" s="26"/>
      <c r="E40" s="391"/>
      <c r="F40" s="26"/>
      <c r="G40" s="26"/>
      <c r="H40" s="26"/>
      <c r="I40" s="26"/>
      <c r="J40" s="26"/>
      <c r="K40" s="26"/>
      <c r="L40" s="26"/>
      <c r="M40" s="26"/>
      <c r="N40" s="26"/>
      <c r="O40" s="26"/>
      <c r="P40" s="26"/>
      <c r="Q40" s="26"/>
      <c r="R40" s="26"/>
      <c r="S40" s="26"/>
      <c r="T40" s="26"/>
      <c r="U40" s="26"/>
      <c r="V40" s="26"/>
    </row>
    <row r="41" spans="1:22" ht="105.75" customHeight="1" x14ac:dyDescent="0.25">
      <c r="A41" s="27" t="s">
        <v>477</v>
      </c>
      <c r="B41" s="43" t="s">
        <v>500</v>
      </c>
      <c r="C41" s="2" t="s">
        <v>630</v>
      </c>
      <c r="D41" s="26" t="s">
        <v>637</v>
      </c>
      <c r="E41" s="391"/>
      <c r="F41" s="26"/>
      <c r="G41" s="26"/>
      <c r="H41" s="26"/>
      <c r="I41" s="26"/>
      <c r="J41" s="26"/>
      <c r="K41" s="26"/>
      <c r="L41" s="26"/>
      <c r="M41" s="26"/>
      <c r="N41" s="26"/>
      <c r="O41" s="26"/>
      <c r="P41" s="26"/>
      <c r="Q41" s="26"/>
      <c r="R41" s="26"/>
      <c r="S41" s="26"/>
      <c r="T41" s="26"/>
      <c r="U41" s="26"/>
      <c r="V41" s="26"/>
    </row>
    <row r="42" spans="1:22" ht="83.25" customHeight="1" x14ac:dyDescent="0.25">
      <c r="A42" s="27" t="s">
        <v>467</v>
      </c>
      <c r="B42" s="43" t="s">
        <v>515</v>
      </c>
      <c r="C42" s="2" t="s">
        <v>630</v>
      </c>
      <c r="D42" s="26" t="s">
        <v>637</v>
      </c>
      <c r="E42" s="391"/>
      <c r="F42" s="26"/>
      <c r="G42" s="26"/>
      <c r="H42" s="26"/>
      <c r="I42" s="26"/>
      <c r="J42" s="26"/>
      <c r="K42" s="26"/>
      <c r="L42" s="26"/>
      <c r="M42" s="26"/>
      <c r="N42" s="26"/>
      <c r="O42" s="26"/>
      <c r="P42" s="26"/>
      <c r="Q42" s="26"/>
      <c r="R42" s="26"/>
      <c r="S42" s="26"/>
      <c r="T42" s="26"/>
      <c r="U42" s="26"/>
      <c r="V42" s="26"/>
    </row>
    <row r="43" spans="1:22" ht="186" customHeight="1" x14ac:dyDescent="0.25">
      <c r="A43" s="27" t="s">
        <v>480</v>
      </c>
      <c r="B43" s="43" t="s">
        <v>481</v>
      </c>
      <c r="C43" s="2" t="s">
        <v>645</v>
      </c>
      <c r="D43" s="26"/>
      <c r="E43" s="391"/>
      <c r="F43" s="26"/>
      <c r="G43" s="26"/>
      <c r="H43" s="26"/>
      <c r="I43" s="26"/>
      <c r="J43" s="26"/>
      <c r="K43" s="26"/>
      <c r="L43" s="26"/>
      <c r="M43" s="26"/>
      <c r="N43" s="26"/>
      <c r="O43" s="26"/>
      <c r="P43" s="26"/>
      <c r="Q43" s="26"/>
      <c r="R43" s="26"/>
      <c r="S43" s="26"/>
      <c r="T43" s="26"/>
      <c r="U43" s="26"/>
      <c r="V43" s="26"/>
    </row>
    <row r="44" spans="1:22" ht="111" customHeight="1" x14ac:dyDescent="0.25">
      <c r="A44" s="27" t="s">
        <v>468</v>
      </c>
      <c r="B44" s="43" t="s">
        <v>506</v>
      </c>
      <c r="C44" s="2" t="s">
        <v>645</v>
      </c>
      <c r="D44" s="26"/>
      <c r="E44" s="391"/>
      <c r="F44" s="26"/>
      <c r="G44" s="26"/>
      <c r="H44" s="26"/>
      <c r="I44" s="26"/>
      <c r="J44" s="26"/>
      <c r="K44" s="26"/>
      <c r="L44" s="26"/>
      <c r="M44" s="26"/>
      <c r="N44" s="26"/>
      <c r="O44" s="26"/>
      <c r="P44" s="26"/>
      <c r="Q44" s="26"/>
      <c r="R44" s="26"/>
      <c r="S44" s="26"/>
      <c r="T44" s="26"/>
      <c r="U44" s="26"/>
      <c r="V44" s="26"/>
    </row>
    <row r="45" spans="1:22" ht="89.25" customHeight="1" x14ac:dyDescent="0.25">
      <c r="A45" s="27" t="s">
        <v>501</v>
      </c>
      <c r="B45" s="43" t="s">
        <v>507</v>
      </c>
      <c r="C45" s="2" t="s">
        <v>645</v>
      </c>
      <c r="D45" s="26"/>
      <c r="E45" s="391"/>
      <c r="F45" s="26"/>
      <c r="G45" s="26"/>
      <c r="H45" s="26"/>
      <c r="I45" s="26"/>
      <c r="J45" s="26"/>
      <c r="K45" s="26"/>
      <c r="L45" s="26"/>
      <c r="M45" s="26"/>
      <c r="N45" s="26"/>
      <c r="O45" s="26"/>
      <c r="P45" s="26"/>
      <c r="Q45" s="26"/>
      <c r="R45" s="26"/>
      <c r="S45" s="26"/>
      <c r="T45" s="26"/>
      <c r="U45" s="26"/>
      <c r="V45" s="26"/>
    </row>
    <row r="46" spans="1:22" ht="101.25" customHeight="1" x14ac:dyDescent="0.25">
      <c r="A46" s="27" t="s">
        <v>469</v>
      </c>
      <c r="B46" s="43" t="s">
        <v>508</v>
      </c>
      <c r="C46" s="2" t="s">
        <v>645</v>
      </c>
      <c r="D46" s="26"/>
      <c r="E46" s="391"/>
      <c r="F46" s="26"/>
      <c r="G46" s="26"/>
      <c r="H46" s="26"/>
      <c r="I46" s="26"/>
      <c r="J46" s="26"/>
      <c r="K46" s="26"/>
      <c r="L46" s="26"/>
      <c r="M46" s="26"/>
      <c r="N46" s="26"/>
      <c r="O46" s="26"/>
      <c r="P46" s="26"/>
      <c r="Q46" s="26"/>
      <c r="R46" s="26"/>
      <c r="S46" s="26"/>
      <c r="T46" s="26"/>
      <c r="U46" s="26"/>
      <c r="V46" s="26"/>
    </row>
    <row r="47" spans="1:22" ht="18.75" customHeight="1" x14ac:dyDescent="0.25">
      <c r="A47" s="392"/>
      <c r="B47" s="393"/>
      <c r="C47" s="394"/>
      <c r="D47" s="26"/>
      <c r="E47" s="391"/>
      <c r="F47" s="26"/>
      <c r="G47" s="26"/>
      <c r="H47" s="26"/>
      <c r="I47" s="26"/>
      <c r="J47" s="26"/>
      <c r="K47" s="26"/>
      <c r="L47" s="26"/>
      <c r="M47" s="26"/>
      <c r="N47" s="26"/>
      <c r="O47" s="26"/>
      <c r="P47" s="26"/>
      <c r="Q47" s="26"/>
      <c r="R47" s="26"/>
      <c r="S47" s="26"/>
      <c r="T47" s="26"/>
      <c r="U47" s="26"/>
      <c r="V47" s="26"/>
    </row>
    <row r="48" spans="1:22" ht="75.75" hidden="1" customHeight="1" x14ac:dyDescent="0.25">
      <c r="A48" s="27" t="s">
        <v>502</v>
      </c>
      <c r="B48" s="43" t="s">
        <v>516</v>
      </c>
      <c r="C48" s="309">
        <f>'6.2. Паспорт фин осв ввод факт'!AB24</f>
        <v>108.580612246002</v>
      </c>
      <c r="D48" s="26"/>
      <c r="E48" s="324" t="s">
        <v>747</v>
      </c>
      <c r="F48" s="26"/>
      <c r="G48" s="26"/>
      <c r="H48" s="26"/>
      <c r="I48" s="26"/>
      <c r="J48" s="26"/>
      <c r="K48" s="26"/>
      <c r="L48" s="26"/>
      <c r="M48" s="26"/>
      <c r="N48" s="26"/>
      <c r="O48" s="26"/>
      <c r="P48" s="26"/>
      <c r="Q48" s="26"/>
      <c r="R48" s="26"/>
      <c r="S48" s="26"/>
      <c r="T48" s="26"/>
      <c r="U48" s="26"/>
      <c r="V48" s="26"/>
    </row>
    <row r="49" spans="1:22" ht="71.25" hidden="1" customHeight="1" x14ac:dyDescent="0.25">
      <c r="A49" s="27" t="s">
        <v>470</v>
      </c>
      <c r="B49" s="43" t="s">
        <v>517</v>
      </c>
      <c r="C49" s="309">
        <f>'6.2. Паспорт фин осв ввод факт'!AB30</f>
        <v>52.675899742374583</v>
      </c>
      <c r="D49" s="26"/>
      <c r="E49" s="324" t="s">
        <v>747</v>
      </c>
      <c r="F49" s="26"/>
      <c r="G49" s="26"/>
      <c r="H49" s="26"/>
      <c r="I49" s="26"/>
      <c r="J49" s="26"/>
      <c r="K49" s="26"/>
      <c r="L49" s="26"/>
      <c r="M49" s="26"/>
      <c r="N49" s="26"/>
      <c r="O49" s="26"/>
      <c r="P49" s="26"/>
      <c r="Q49" s="26"/>
      <c r="R49" s="26"/>
      <c r="S49" s="26"/>
      <c r="T49" s="26"/>
      <c r="U49" s="26"/>
      <c r="V49" s="26"/>
    </row>
    <row r="50" spans="1:22" ht="75.75" customHeight="1" x14ac:dyDescent="0.25">
      <c r="A50" s="27" t="s">
        <v>502</v>
      </c>
      <c r="B50" s="43" t="s">
        <v>516</v>
      </c>
      <c r="C50" s="387" t="str">
        <f>CONCATENATE(ROUND('6.2. Паспорт фин осв ввод'!AP24,2)," млн рублей")</f>
        <v>114,4 млн рублей</v>
      </c>
      <c r="D50" s="319"/>
      <c r="E50" s="324" t="s">
        <v>677</v>
      </c>
      <c r="F50" s="319"/>
      <c r="G50" s="319"/>
      <c r="H50" s="319"/>
      <c r="I50" s="319"/>
      <c r="J50" s="319"/>
      <c r="K50" s="319"/>
      <c r="L50" s="319"/>
      <c r="M50" s="319"/>
      <c r="N50" s="319"/>
      <c r="O50" s="319"/>
      <c r="P50" s="319"/>
      <c r="Q50" s="319"/>
      <c r="R50" s="319"/>
      <c r="S50" s="319"/>
      <c r="T50" s="319"/>
      <c r="U50" s="319"/>
      <c r="V50" s="319"/>
    </row>
    <row r="51" spans="1:22" ht="71.25" customHeight="1" x14ac:dyDescent="0.25">
      <c r="A51" s="27" t="s">
        <v>470</v>
      </c>
      <c r="B51" s="43" t="s">
        <v>517</v>
      </c>
      <c r="C51" s="387" t="str">
        <f>CONCATENATE(ROUND('6.2. Паспорт фин осв ввод'!AP30,2)," млн рублей")</f>
        <v>99,18 млн рублей</v>
      </c>
      <c r="D51" s="319"/>
      <c r="E51" s="324" t="s">
        <v>677</v>
      </c>
      <c r="F51" s="319"/>
      <c r="G51" s="319"/>
      <c r="H51" s="319"/>
      <c r="I51" s="319"/>
      <c r="J51" s="319"/>
      <c r="K51" s="319"/>
      <c r="L51" s="319"/>
      <c r="M51" s="319"/>
      <c r="N51" s="319"/>
      <c r="O51" s="319"/>
      <c r="P51" s="319"/>
      <c r="Q51" s="319"/>
      <c r="R51" s="319"/>
      <c r="S51" s="319"/>
      <c r="T51" s="319"/>
      <c r="U51" s="319"/>
      <c r="V51" s="319"/>
    </row>
    <row r="52" spans="1:22" x14ac:dyDescent="0.25">
      <c r="A52" s="26"/>
      <c r="B52" s="26"/>
      <c r="C52" s="26"/>
      <c r="D52" s="26"/>
      <c r="E52" s="319"/>
      <c r="F52" s="26"/>
      <c r="G52" s="26"/>
      <c r="H52" s="26"/>
      <c r="I52" s="26"/>
      <c r="J52" s="26"/>
      <c r="K52" s="26"/>
      <c r="L52" s="26"/>
      <c r="M52" s="26"/>
      <c r="N52" s="26"/>
      <c r="O52" s="26"/>
      <c r="P52" s="26"/>
      <c r="Q52" s="26"/>
      <c r="R52" s="26"/>
      <c r="S52" s="26"/>
      <c r="T52" s="26"/>
      <c r="U52" s="26"/>
      <c r="V52" s="26"/>
    </row>
    <row r="53" spans="1:22" x14ac:dyDescent="0.25">
      <c r="A53" s="26"/>
      <c r="B53" s="26"/>
      <c r="C53" s="26"/>
      <c r="D53" s="26"/>
      <c r="E53" s="319"/>
      <c r="F53" s="26"/>
      <c r="G53" s="26"/>
      <c r="H53" s="26"/>
      <c r="I53" s="26"/>
      <c r="J53" s="26"/>
      <c r="K53" s="26"/>
      <c r="L53" s="26"/>
      <c r="M53" s="26"/>
      <c r="N53" s="26"/>
      <c r="O53" s="26"/>
      <c r="P53" s="26"/>
      <c r="Q53" s="26"/>
      <c r="R53" s="26"/>
      <c r="S53" s="26"/>
      <c r="T53" s="26"/>
      <c r="U53" s="26"/>
      <c r="V53" s="26"/>
    </row>
    <row r="54" spans="1:22" x14ac:dyDescent="0.25">
      <c r="A54" s="26"/>
      <c r="B54" s="26"/>
      <c r="C54" s="26"/>
      <c r="D54" s="26"/>
      <c r="E54" s="319"/>
      <c r="F54" s="26"/>
      <c r="G54" s="26"/>
      <c r="H54" s="26"/>
      <c r="I54" s="26"/>
      <c r="J54" s="26"/>
      <c r="K54" s="26"/>
      <c r="L54" s="26"/>
      <c r="M54" s="26"/>
      <c r="N54" s="26"/>
      <c r="O54" s="26"/>
      <c r="P54" s="26"/>
      <c r="Q54" s="26"/>
      <c r="R54" s="26"/>
      <c r="S54" s="26"/>
      <c r="T54" s="26"/>
      <c r="U54" s="26"/>
      <c r="V54" s="26"/>
    </row>
    <row r="55" spans="1:22" x14ac:dyDescent="0.25">
      <c r="A55" s="26"/>
      <c r="B55" s="26"/>
      <c r="C55" s="26"/>
      <c r="D55" s="26"/>
      <c r="E55" s="319"/>
      <c r="F55" s="26"/>
      <c r="G55" s="26"/>
      <c r="H55" s="26"/>
      <c r="I55" s="26"/>
      <c r="J55" s="26"/>
      <c r="K55" s="26"/>
      <c r="L55" s="26"/>
      <c r="M55" s="26"/>
      <c r="N55" s="26"/>
      <c r="O55" s="26"/>
      <c r="P55" s="26"/>
      <c r="Q55" s="26"/>
      <c r="R55" s="26"/>
      <c r="S55" s="26"/>
      <c r="T55" s="26"/>
      <c r="U55" s="26"/>
      <c r="V55" s="26"/>
    </row>
    <row r="56" spans="1:22" x14ac:dyDescent="0.25">
      <c r="A56" s="26"/>
      <c r="B56" s="26"/>
      <c r="C56" s="26"/>
      <c r="D56" s="26"/>
      <c r="E56" s="319"/>
      <c r="F56" s="26"/>
      <c r="G56" s="26"/>
      <c r="H56" s="26"/>
      <c r="I56" s="26"/>
      <c r="J56" s="26"/>
      <c r="K56" s="26"/>
      <c r="L56" s="26"/>
      <c r="M56" s="26"/>
      <c r="N56" s="26"/>
      <c r="O56" s="26"/>
      <c r="P56" s="26"/>
      <c r="Q56" s="26"/>
      <c r="R56" s="26"/>
      <c r="S56" s="26"/>
      <c r="T56" s="26"/>
      <c r="U56" s="26"/>
      <c r="V56" s="26"/>
    </row>
    <row r="57" spans="1:22" x14ac:dyDescent="0.25">
      <c r="A57" s="26"/>
      <c r="B57" s="26"/>
      <c r="C57" s="26"/>
      <c r="D57" s="26"/>
      <c r="E57" s="319"/>
      <c r="F57" s="26"/>
      <c r="G57" s="26"/>
      <c r="H57" s="26"/>
      <c r="I57" s="26"/>
      <c r="J57" s="26"/>
      <c r="K57" s="26"/>
      <c r="L57" s="26"/>
      <c r="M57" s="26"/>
      <c r="N57" s="26"/>
      <c r="O57" s="26"/>
      <c r="P57" s="26"/>
      <c r="Q57" s="26"/>
      <c r="R57" s="26"/>
      <c r="S57" s="26"/>
      <c r="T57" s="26"/>
      <c r="U57" s="26"/>
      <c r="V57" s="26"/>
    </row>
    <row r="58" spans="1:22" x14ac:dyDescent="0.25">
      <c r="A58" s="26"/>
      <c r="B58" s="26"/>
      <c r="C58" s="26"/>
      <c r="D58" s="26"/>
      <c r="E58" s="319"/>
      <c r="F58" s="26"/>
      <c r="G58" s="26"/>
      <c r="H58" s="26"/>
      <c r="I58" s="26"/>
      <c r="J58" s="26"/>
      <c r="K58" s="26"/>
      <c r="L58" s="26"/>
      <c r="M58" s="26"/>
      <c r="N58" s="26"/>
      <c r="O58" s="26"/>
      <c r="P58" s="26"/>
      <c r="Q58" s="26"/>
      <c r="R58" s="26"/>
      <c r="S58" s="26"/>
      <c r="T58" s="26"/>
      <c r="U58" s="26"/>
      <c r="V58" s="26"/>
    </row>
    <row r="59" spans="1:22" x14ac:dyDescent="0.25">
      <c r="A59" s="26"/>
      <c r="B59" s="26"/>
      <c r="C59" s="26"/>
      <c r="D59" s="26"/>
      <c r="E59" s="319"/>
      <c r="F59" s="26"/>
      <c r="G59" s="26"/>
      <c r="H59" s="26"/>
      <c r="I59" s="26"/>
      <c r="J59" s="26"/>
      <c r="K59" s="26"/>
      <c r="L59" s="26"/>
      <c r="M59" s="26"/>
      <c r="N59" s="26"/>
      <c r="O59" s="26"/>
      <c r="P59" s="26"/>
      <c r="Q59" s="26"/>
      <c r="R59" s="26"/>
      <c r="S59" s="26"/>
      <c r="T59" s="26"/>
      <c r="U59" s="26"/>
      <c r="V59" s="26"/>
    </row>
    <row r="60" spans="1:22" x14ac:dyDescent="0.25">
      <c r="A60" s="26"/>
      <c r="B60" s="26"/>
      <c r="C60" s="26"/>
      <c r="D60" s="26"/>
      <c r="E60" s="319"/>
      <c r="F60" s="26"/>
      <c r="G60" s="26"/>
      <c r="H60" s="26"/>
      <c r="I60" s="26"/>
      <c r="J60" s="26"/>
      <c r="K60" s="26"/>
      <c r="L60" s="26"/>
      <c r="M60" s="26"/>
      <c r="N60" s="26"/>
      <c r="O60" s="26"/>
      <c r="P60" s="26"/>
      <c r="Q60" s="26"/>
      <c r="R60" s="26"/>
      <c r="S60" s="26"/>
      <c r="T60" s="26"/>
      <c r="U60" s="26"/>
      <c r="V60" s="26"/>
    </row>
    <row r="61" spans="1:22" x14ac:dyDescent="0.25">
      <c r="A61" s="26"/>
      <c r="B61" s="26"/>
      <c r="C61" s="26"/>
      <c r="D61" s="26"/>
      <c r="E61" s="319"/>
      <c r="F61" s="26"/>
      <c r="G61" s="26"/>
      <c r="H61" s="26"/>
      <c r="I61" s="26"/>
      <c r="J61" s="26"/>
      <c r="K61" s="26"/>
      <c r="L61" s="26"/>
      <c r="M61" s="26"/>
      <c r="N61" s="26"/>
      <c r="O61" s="26"/>
      <c r="P61" s="26"/>
      <c r="Q61" s="26"/>
      <c r="R61" s="26"/>
      <c r="S61" s="26"/>
      <c r="T61" s="26"/>
      <c r="U61" s="26"/>
      <c r="V61" s="26"/>
    </row>
    <row r="62" spans="1:22" x14ac:dyDescent="0.25">
      <c r="A62" s="26"/>
      <c r="B62" s="26"/>
      <c r="C62" s="26"/>
      <c r="D62" s="26"/>
      <c r="E62" s="319"/>
      <c r="F62" s="26"/>
      <c r="G62" s="26"/>
      <c r="H62" s="26"/>
      <c r="I62" s="26"/>
      <c r="J62" s="26"/>
      <c r="K62" s="26"/>
      <c r="L62" s="26"/>
      <c r="M62" s="26"/>
      <c r="N62" s="26"/>
      <c r="O62" s="26"/>
      <c r="P62" s="26"/>
      <c r="Q62" s="26"/>
      <c r="R62" s="26"/>
      <c r="S62" s="26"/>
      <c r="T62" s="26"/>
      <c r="U62" s="26"/>
      <c r="V62" s="26"/>
    </row>
    <row r="63" spans="1:22" x14ac:dyDescent="0.25">
      <c r="A63" s="26"/>
      <c r="B63" s="26"/>
      <c r="C63" s="26"/>
      <c r="D63" s="26"/>
      <c r="E63" s="319"/>
      <c r="F63" s="26"/>
      <c r="G63" s="26"/>
      <c r="H63" s="26"/>
      <c r="I63" s="26"/>
      <c r="J63" s="26"/>
      <c r="K63" s="26"/>
      <c r="L63" s="26"/>
      <c r="M63" s="26"/>
      <c r="N63" s="26"/>
      <c r="O63" s="26"/>
      <c r="P63" s="26"/>
      <c r="Q63" s="26"/>
      <c r="R63" s="26"/>
      <c r="S63" s="26"/>
      <c r="T63" s="26"/>
      <c r="U63" s="26"/>
      <c r="V63" s="26"/>
    </row>
    <row r="64" spans="1:22" x14ac:dyDescent="0.25">
      <c r="A64" s="26"/>
      <c r="B64" s="26"/>
      <c r="C64" s="26"/>
      <c r="D64" s="26"/>
      <c r="E64" s="319"/>
      <c r="F64" s="26"/>
      <c r="G64" s="26"/>
      <c r="H64" s="26"/>
      <c r="I64" s="26"/>
      <c r="J64" s="26"/>
      <c r="K64" s="26"/>
      <c r="L64" s="26"/>
      <c r="M64" s="26"/>
      <c r="N64" s="26"/>
      <c r="O64" s="26"/>
      <c r="P64" s="26"/>
      <c r="Q64" s="26"/>
      <c r="R64" s="26"/>
      <c r="S64" s="26"/>
      <c r="T64" s="26"/>
      <c r="U64" s="26"/>
      <c r="V64" s="26"/>
    </row>
    <row r="65" spans="1:22" x14ac:dyDescent="0.25">
      <c r="A65" s="26"/>
      <c r="B65" s="26"/>
      <c r="C65" s="26"/>
      <c r="D65" s="26"/>
      <c r="E65" s="319"/>
      <c r="F65" s="26"/>
      <c r="G65" s="26"/>
      <c r="H65" s="26"/>
      <c r="I65" s="26"/>
      <c r="J65" s="26"/>
      <c r="K65" s="26"/>
      <c r="L65" s="26"/>
      <c r="M65" s="26"/>
      <c r="N65" s="26"/>
      <c r="O65" s="26"/>
      <c r="P65" s="26"/>
      <c r="Q65" s="26"/>
      <c r="R65" s="26"/>
      <c r="S65" s="26"/>
      <c r="T65" s="26"/>
      <c r="U65" s="26"/>
      <c r="V65" s="26"/>
    </row>
    <row r="66" spans="1:22" x14ac:dyDescent="0.25">
      <c r="A66" s="26"/>
      <c r="B66" s="26"/>
      <c r="C66" s="26"/>
      <c r="D66" s="26"/>
      <c r="E66" s="319"/>
      <c r="F66" s="26"/>
      <c r="G66" s="26"/>
      <c r="H66" s="26"/>
      <c r="I66" s="26"/>
      <c r="J66" s="26"/>
      <c r="K66" s="26"/>
      <c r="L66" s="26"/>
      <c r="M66" s="26"/>
      <c r="N66" s="26"/>
      <c r="O66" s="26"/>
      <c r="P66" s="26"/>
      <c r="Q66" s="26"/>
      <c r="R66" s="26"/>
      <c r="S66" s="26"/>
      <c r="T66" s="26"/>
      <c r="U66" s="26"/>
      <c r="V66" s="26"/>
    </row>
    <row r="67" spans="1:22" x14ac:dyDescent="0.25">
      <c r="A67" s="26"/>
      <c r="B67" s="26"/>
      <c r="C67" s="26"/>
      <c r="D67" s="26"/>
      <c r="E67" s="319"/>
      <c r="F67" s="26"/>
      <c r="G67" s="26"/>
      <c r="H67" s="26"/>
      <c r="I67" s="26"/>
      <c r="J67" s="26"/>
      <c r="K67" s="26"/>
      <c r="L67" s="26"/>
      <c r="M67" s="26"/>
      <c r="N67" s="26"/>
      <c r="O67" s="26"/>
      <c r="P67" s="26"/>
      <c r="Q67" s="26"/>
      <c r="R67" s="26"/>
      <c r="S67" s="26"/>
      <c r="T67" s="26"/>
      <c r="U67" s="26"/>
      <c r="V67" s="26"/>
    </row>
    <row r="68" spans="1:22" x14ac:dyDescent="0.25">
      <c r="A68" s="26"/>
      <c r="B68" s="26"/>
      <c r="C68" s="26"/>
      <c r="D68" s="26"/>
      <c r="E68" s="319"/>
      <c r="F68" s="26"/>
      <c r="G68" s="26"/>
      <c r="H68" s="26"/>
      <c r="I68" s="26"/>
      <c r="J68" s="26"/>
      <c r="K68" s="26"/>
      <c r="L68" s="26"/>
      <c r="M68" s="26"/>
      <c r="N68" s="26"/>
      <c r="O68" s="26"/>
      <c r="P68" s="26"/>
      <c r="Q68" s="26"/>
      <c r="R68" s="26"/>
      <c r="S68" s="26"/>
      <c r="T68" s="26"/>
      <c r="U68" s="26"/>
      <c r="V68" s="26"/>
    </row>
    <row r="69" spans="1:22" x14ac:dyDescent="0.25">
      <c r="A69" s="26"/>
      <c r="B69" s="26"/>
      <c r="C69" s="26"/>
      <c r="D69" s="26"/>
      <c r="E69" s="319"/>
      <c r="F69" s="26"/>
      <c r="G69" s="26"/>
      <c r="H69" s="26"/>
      <c r="I69" s="26"/>
      <c r="J69" s="26"/>
      <c r="K69" s="26"/>
      <c r="L69" s="26"/>
      <c r="M69" s="26"/>
      <c r="N69" s="26"/>
      <c r="O69" s="26"/>
      <c r="P69" s="26"/>
      <c r="Q69" s="26"/>
      <c r="R69" s="26"/>
      <c r="S69" s="26"/>
      <c r="T69" s="26"/>
      <c r="U69" s="26"/>
      <c r="V69" s="26"/>
    </row>
    <row r="70" spans="1:22" x14ac:dyDescent="0.25">
      <c r="A70" s="26"/>
      <c r="B70" s="26"/>
      <c r="C70" s="26"/>
      <c r="D70" s="26"/>
      <c r="E70" s="319"/>
      <c r="F70" s="26"/>
      <c r="G70" s="26"/>
      <c r="H70" s="26"/>
      <c r="I70" s="26"/>
      <c r="J70" s="26"/>
      <c r="K70" s="26"/>
      <c r="L70" s="26"/>
      <c r="M70" s="26"/>
      <c r="N70" s="26"/>
      <c r="O70" s="26"/>
      <c r="P70" s="26"/>
      <c r="Q70" s="26"/>
      <c r="R70" s="26"/>
      <c r="S70" s="26"/>
      <c r="T70" s="26"/>
      <c r="U70" s="26"/>
      <c r="V70" s="26"/>
    </row>
    <row r="71" spans="1:22" x14ac:dyDescent="0.25">
      <c r="A71" s="26"/>
      <c r="B71" s="26"/>
      <c r="C71" s="26"/>
      <c r="D71" s="26"/>
      <c r="E71" s="319"/>
      <c r="F71" s="26"/>
      <c r="G71" s="26"/>
      <c r="H71" s="26"/>
      <c r="I71" s="26"/>
      <c r="J71" s="26"/>
      <c r="K71" s="26"/>
      <c r="L71" s="26"/>
      <c r="M71" s="26"/>
      <c r="N71" s="26"/>
      <c r="O71" s="26"/>
      <c r="P71" s="26"/>
      <c r="Q71" s="26"/>
      <c r="R71" s="26"/>
      <c r="S71" s="26"/>
      <c r="T71" s="26"/>
      <c r="U71" s="26"/>
      <c r="V71" s="26"/>
    </row>
    <row r="72" spans="1:22" x14ac:dyDescent="0.25">
      <c r="A72" s="26"/>
      <c r="B72" s="26"/>
      <c r="C72" s="26"/>
      <c r="D72" s="26"/>
      <c r="E72" s="319"/>
      <c r="F72" s="26"/>
      <c r="G72" s="26"/>
      <c r="H72" s="26"/>
      <c r="I72" s="26"/>
      <c r="J72" s="26"/>
      <c r="K72" s="26"/>
      <c r="L72" s="26"/>
      <c r="M72" s="26"/>
      <c r="N72" s="26"/>
      <c r="O72" s="26"/>
      <c r="P72" s="26"/>
      <c r="Q72" s="26"/>
      <c r="R72" s="26"/>
      <c r="S72" s="26"/>
      <c r="T72" s="26"/>
      <c r="U72" s="26"/>
      <c r="V72" s="26"/>
    </row>
    <row r="73" spans="1:22" x14ac:dyDescent="0.25">
      <c r="A73" s="26"/>
      <c r="B73" s="26"/>
      <c r="C73" s="26"/>
      <c r="D73" s="26"/>
      <c r="E73" s="319"/>
      <c r="F73" s="26"/>
      <c r="G73" s="26"/>
      <c r="H73" s="26"/>
      <c r="I73" s="26"/>
      <c r="J73" s="26"/>
      <c r="K73" s="26"/>
      <c r="L73" s="26"/>
      <c r="M73" s="26"/>
      <c r="N73" s="26"/>
      <c r="O73" s="26"/>
      <c r="P73" s="26"/>
      <c r="Q73" s="26"/>
      <c r="R73" s="26"/>
      <c r="S73" s="26"/>
      <c r="T73" s="26"/>
      <c r="U73" s="26"/>
      <c r="V73" s="26"/>
    </row>
    <row r="74" spans="1:22" x14ac:dyDescent="0.25">
      <c r="A74" s="26"/>
      <c r="B74" s="26"/>
      <c r="C74" s="26"/>
      <c r="D74" s="26"/>
      <c r="E74" s="319"/>
      <c r="F74" s="26"/>
      <c r="G74" s="26"/>
      <c r="H74" s="26"/>
      <c r="I74" s="26"/>
      <c r="J74" s="26"/>
      <c r="K74" s="26"/>
      <c r="L74" s="26"/>
      <c r="M74" s="26"/>
      <c r="N74" s="26"/>
      <c r="O74" s="26"/>
      <c r="P74" s="26"/>
      <c r="Q74" s="26"/>
      <c r="R74" s="26"/>
      <c r="S74" s="26"/>
      <c r="T74" s="26"/>
      <c r="U74" s="26"/>
      <c r="V74" s="26"/>
    </row>
    <row r="75" spans="1:22" x14ac:dyDescent="0.25">
      <c r="A75" s="26"/>
      <c r="B75" s="26"/>
      <c r="C75" s="26"/>
      <c r="D75" s="26"/>
      <c r="E75" s="319"/>
      <c r="F75" s="26"/>
      <c r="G75" s="26"/>
      <c r="H75" s="26"/>
      <c r="I75" s="26"/>
      <c r="J75" s="26"/>
      <c r="K75" s="26"/>
      <c r="L75" s="26"/>
      <c r="M75" s="26"/>
      <c r="N75" s="26"/>
      <c r="O75" s="26"/>
      <c r="P75" s="26"/>
      <c r="Q75" s="26"/>
      <c r="R75" s="26"/>
      <c r="S75" s="26"/>
      <c r="T75" s="26"/>
      <c r="U75" s="26"/>
      <c r="V75" s="26"/>
    </row>
    <row r="76" spans="1:22" x14ac:dyDescent="0.25">
      <c r="A76" s="26"/>
      <c r="B76" s="26"/>
      <c r="C76" s="26"/>
      <c r="D76" s="26"/>
      <c r="E76" s="319"/>
      <c r="F76" s="26"/>
      <c r="G76" s="26"/>
      <c r="H76" s="26"/>
      <c r="I76" s="26"/>
      <c r="J76" s="26"/>
      <c r="K76" s="26"/>
      <c r="L76" s="26"/>
      <c r="M76" s="26"/>
      <c r="N76" s="26"/>
      <c r="O76" s="26"/>
      <c r="P76" s="26"/>
      <c r="Q76" s="26"/>
      <c r="R76" s="26"/>
      <c r="S76" s="26"/>
      <c r="T76" s="26"/>
      <c r="U76" s="26"/>
      <c r="V76" s="26"/>
    </row>
    <row r="77" spans="1:22" x14ac:dyDescent="0.25">
      <c r="A77" s="26"/>
      <c r="B77" s="26"/>
      <c r="C77" s="26"/>
      <c r="D77" s="26"/>
      <c r="E77" s="319"/>
      <c r="F77" s="26"/>
      <c r="G77" s="26"/>
      <c r="H77" s="26"/>
      <c r="I77" s="26"/>
      <c r="J77" s="26"/>
      <c r="K77" s="26"/>
      <c r="L77" s="26"/>
      <c r="M77" s="26"/>
      <c r="N77" s="26"/>
      <c r="O77" s="26"/>
      <c r="P77" s="26"/>
      <c r="Q77" s="26"/>
      <c r="R77" s="26"/>
      <c r="S77" s="26"/>
      <c r="T77" s="26"/>
      <c r="U77" s="26"/>
      <c r="V77" s="26"/>
    </row>
    <row r="78" spans="1:22" x14ac:dyDescent="0.25">
      <c r="A78" s="26"/>
      <c r="B78" s="26"/>
      <c r="C78" s="26"/>
      <c r="D78" s="26"/>
      <c r="E78" s="319"/>
      <c r="F78" s="26"/>
      <c r="G78" s="26"/>
      <c r="H78" s="26"/>
      <c r="I78" s="26"/>
      <c r="J78" s="26"/>
      <c r="K78" s="26"/>
      <c r="L78" s="26"/>
      <c r="M78" s="26"/>
      <c r="N78" s="26"/>
      <c r="O78" s="26"/>
      <c r="P78" s="26"/>
      <c r="Q78" s="26"/>
      <c r="R78" s="26"/>
      <c r="S78" s="26"/>
      <c r="T78" s="26"/>
      <c r="U78" s="26"/>
      <c r="V78" s="26"/>
    </row>
    <row r="79" spans="1:22" x14ac:dyDescent="0.25">
      <c r="A79" s="26"/>
      <c r="B79" s="26"/>
      <c r="C79" s="26"/>
      <c r="D79" s="26"/>
      <c r="E79" s="319"/>
      <c r="F79" s="26"/>
      <c r="G79" s="26"/>
      <c r="H79" s="26"/>
      <c r="I79" s="26"/>
      <c r="J79" s="26"/>
      <c r="K79" s="26"/>
      <c r="L79" s="26"/>
      <c r="M79" s="26"/>
      <c r="N79" s="26"/>
      <c r="O79" s="26"/>
      <c r="P79" s="26"/>
      <c r="Q79" s="26"/>
      <c r="R79" s="26"/>
      <c r="S79" s="26"/>
      <c r="T79" s="26"/>
      <c r="U79" s="26"/>
      <c r="V79" s="26"/>
    </row>
    <row r="80" spans="1:22" x14ac:dyDescent="0.25">
      <c r="A80" s="26"/>
      <c r="B80" s="26"/>
      <c r="C80" s="26"/>
      <c r="D80" s="26"/>
      <c r="E80" s="319"/>
      <c r="F80" s="26"/>
      <c r="G80" s="26"/>
      <c r="H80" s="26"/>
      <c r="I80" s="26"/>
      <c r="J80" s="26"/>
      <c r="K80" s="26"/>
      <c r="L80" s="26"/>
      <c r="M80" s="26"/>
      <c r="N80" s="26"/>
      <c r="O80" s="26"/>
      <c r="P80" s="26"/>
      <c r="Q80" s="26"/>
      <c r="R80" s="26"/>
      <c r="S80" s="26"/>
      <c r="T80" s="26"/>
      <c r="U80" s="26"/>
      <c r="V80" s="26"/>
    </row>
    <row r="81" spans="1:22" x14ac:dyDescent="0.25">
      <c r="A81" s="26"/>
      <c r="B81" s="26"/>
      <c r="C81" s="26"/>
      <c r="D81" s="26"/>
      <c r="E81" s="319"/>
      <c r="F81" s="26"/>
      <c r="G81" s="26"/>
      <c r="H81" s="26"/>
      <c r="I81" s="26"/>
      <c r="J81" s="26"/>
      <c r="K81" s="26"/>
      <c r="L81" s="26"/>
      <c r="M81" s="26"/>
      <c r="N81" s="26"/>
      <c r="O81" s="26"/>
      <c r="P81" s="26"/>
      <c r="Q81" s="26"/>
      <c r="R81" s="26"/>
      <c r="S81" s="26"/>
      <c r="T81" s="26"/>
      <c r="U81" s="26"/>
      <c r="V81" s="26"/>
    </row>
    <row r="82" spans="1:22" x14ac:dyDescent="0.25">
      <c r="A82" s="26"/>
      <c r="B82" s="26"/>
      <c r="C82" s="26"/>
      <c r="D82" s="26"/>
      <c r="E82" s="319"/>
      <c r="F82" s="26"/>
      <c r="G82" s="26"/>
      <c r="H82" s="26"/>
      <c r="I82" s="26"/>
      <c r="J82" s="26"/>
      <c r="K82" s="26"/>
      <c r="L82" s="26"/>
      <c r="M82" s="26"/>
      <c r="N82" s="26"/>
      <c r="O82" s="26"/>
      <c r="P82" s="26"/>
      <c r="Q82" s="26"/>
      <c r="R82" s="26"/>
      <c r="S82" s="26"/>
      <c r="T82" s="26"/>
      <c r="U82" s="26"/>
      <c r="V82" s="26"/>
    </row>
    <row r="83" spans="1:22" x14ac:dyDescent="0.25">
      <c r="A83" s="26"/>
      <c r="B83" s="26"/>
      <c r="C83" s="26"/>
      <c r="D83" s="26"/>
      <c r="E83" s="319"/>
      <c r="F83" s="26"/>
      <c r="G83" s="26"/>
      <c r="H83" s="26"/>
      <c r="I83" s="26"/>
      <c r="J83" s="26"/>
      <c r="K83" s="26"/>
      <c r="L83" s="26"/>
      <c r="M83" s="26"/>
      <c r="N83" s="26"/>
      <c r="O83" s="26"/>
      <c r="P83" s="26"/>
      <c r="Q83" s="26"/>
      <c r="R83" s="26"/>
      <c r="S83" s="26"/>
      <c r="T83" s="26"/>
      <c r="U83" s="26"/>
      <c r="V83" s="26"/>
    </row>
    <row r="84" spans="1:22" x14ac:dyDescent="0.25">
      <c r="A84" s="26"/>
      <c r="B84" s="26"/>
      <c r="C84" s="26"/>
      <c r="D84" s="26"/>
      <c r="E84" s="319"/>
      <c r="F84" s="26"/>
      <c r="G84" s="26"/>
      <c r="H84" s="26"/>
      <c r="I84" s="26"/>
      <c r="J84" s="26"/>
      <c r="K84" s="26"/>
      <c r="L84" s="26"/>
      <c r="M84" s="26"/>
      <c r="N84" s="26"/>
      <c r="O84" s="26"/>
      <c r="P84" s="26"/>
      <c r="Q84" s="26"/>
      <c r="R84" s="26"/>
      <c r="S84" s="26"/>
      <c r="T84" s="26"/>
      <c r="U84" s="26"/>
      <c r="V84" s="26"/>
    </row>
    <row r="85" spans="1:22" x14ac:dyDescent="0.25">
      <c r="A85" s="26"/>
      <c r="B85" s="26"/>
      <c r="C85" s="26"/>
      <c r="D85" s="26"/>
      <c r="E85" s="319"/>
      <c r="F85" s="26"/>
      <c r="G85" s="26"/>
      <c r="H85" s="26"/>
      <c r="I85" s="26"/>
      <c r="J85" s="26"/>
      <c r="K85" s="26"/>
      <c r="L85" s="26"/>
      <c r="M85" s="26"/>
      <c r="N85" s="26"/>
      <c r="O85" s="26"/>
      <c r="P85" s="26"/>
      <c r="Q85" s="26"/>
      <c r="R85" s="26"/>
      <c r="S85" s="26"/>
      <c r="T85" s="26"/>
      <c r="U85" s="26"/>
      <c r="V85" s="26"/>
    </row>
    <row r="86" spans="1:22" x14ac:dyDescent="0.25">
      <c r="A86" s="26"/>
      <c r="B86" s="26"/>
      <c r="C86" s="26"/>
      <c r="D86" s="26"/>
      <c r="E86" s="319"/>
      <c r="F86" s="26"/>
      <c r="G86" s="26"/>
      <c r="H86" s="26"/>
      <c r="I86" s="26"/>
      <c r="J86" s="26"/>
      <c r="K86" s="26"/>
      <c r="L86" s="26"/>
      <c r="M86" s="26"/>
      <c r="N86" s="26"/>
      <c r="O86" s="26"/>
      <c r="P86" s="26"/>
      <c r="Q86" s="26"/>
      <c r="R86" s="26"/>
      <c r="S86" s="26"/>
      <c r="T86" s="26"/>
      <c r="U86" s="26"/>
      <c r="V86" s="26"/>
    </row>
    <row r="87" spans="1:22" x14ac:dyDescent="0.25">
      <c r="A87" s="26"/>
      <c r="B87" s="26"/>
      <c r="C87" s="26"/>
      <c r="D87" s="26"/>
      <c r="E87" s="319"/>
      <c r="F87" s="26"/>
      <c r="G87" s="26"/>
      <c r="H87" s="26"/>
      <c r="I87" s="26"/>
      <c r="J87" s="26"/>
      <c r="K87" s="26"/>
      <c r="L87" s="26"/>
      <c r="M87" s="26"/>
      <c r="N87" s="26"/>
      <c r="O87" s="26"/>
      <c r="P87" s="26"/>
      <c r="Q87" s="26"/>
      <c r="R87" s="26"/>
      <c r="S87" s="26"/>
      <c r="T87" s="26"/>
      <c r="U87" s="26"/>
      <c r="V87" s="26"/>
    </row>
    <row r="88" spans="1:22" x14ac:dyDescent="0.25">
      <c r="A88" s="26"/>
      <c r="B88" s="26"/>
      <c r="C88" s="26"/>
      <c r="D88" s="26"/>
      <c r="E88" s="319"/>
      <c r="F88" s="26"/>
      <c r="G88" s="26"/>
      <c r="H88" s="26"/>
      <c r="I88" s="26"/>
      <c r="J88" s="26"/>
      <c r="K88" s="26"/>
      <c r="L88" s="26"/>
      <c r="M88" s="26"/>
      <c r="N88" s="26"/>
      <c r="O88" s="26"/>
      <c r="P88" s="26"/>
      <c r="Q88" s="26"/>
      <c r="R88" s="26"/>
      <c r="S88" s="26"/>
      <c r="T88" s="26"/>
      <c r="U88" s="26"/>
      <c r="V88" s="26"/>
    </row>
    <row r="89" spans="1:22" x14ac:dyDescent="0.25">
      <c r="A89" s="26"/>
      <c r="B89" s="26"/>
      <c r="C89" s="26"/>
      <c r="D89" s="26"/>
      <c r="E89" s="319"/>
      <c r="F89" s="26"/>
      <c r="G89" s="26"/>
      <c r="H89" s="26"/>
      <c r="I89" s="26"/>
      <c r="J89" s="26"/>
      <c r="K89" s="26"/>
      <c r="L89" s="26"/>
      <c r="M89" s="26"/>
      <c r="N89" s="26"/>
      <c r="O89" s="26"/>
      <c r="P89" s="26"/>
      <c r="Q89" s="26"/>
      <c r="R89" s="26"/>
      <c r="S89" s="26"/>
      <c r="T89" s="26"/>
      <c r="U89" s="26"/>
      <c r="V89" s="26"/>
    </row>
    <row r="90" spans="1:22" x14ac:dyDescent="0.25">
      <c r="A90" s="26"/>
      <c r="B90" s="26"/>
      <c r="C90" s="26"/>
      <c r="D90" s="26"/>
      <c r="E90" s="319"/>
      <c r="F90" s="26"/>
      <c r="G90" s="26"/>
      <c r="H90" s="26"/>
      <c r="I90" s="26"/>
      <c r="J90" s="26"/>
      <c r="K90" s="26"/>
      <c r="L90" s="26"/>
      <c r="M90" s="26"/>
      <c r="N90" s="26"/>
      <c r="O90" s="26"/>
      <c r="P90" s="26"/>
      <c r="Q90" s="26"/>
      <c r="R90" s="26"/>
      <c r="S90" s="26"/>
      <c r="T90" s="26"/>
      <c r="U90" s="26"/>
      <c r="V90" s="26"/>
    </row>
    <row r="91" spans="1:22" x14ac:dyDescent="0.25">
      <c r="A91" s="26"/>
      <c r="B91" s="26"/>
      <c r="C91" s="26"/>
      <c r="D91" s="26"/>
      <c r="E91" s="319"/>
      <c r="F91" s="26"/>
      <c r="G91" s="26"/>
      <c r="H91" s="26"/>
      <c r="I91" s="26"/>
      <c r="J91" s="26"/>
      <c r="K91" s="26"/>
      <c r="L91" s="26"/>
      <c r="M91" s="26"/>
      <c r="N91" s="26"/>
      <c r="O91" s="26"/>
      <c r="P91" s="26"/>
      <c r="Q91" s="26"/>
      <c r="R91" s="26"/>
      <c r="S91" s="26"/>
      <c r="T91" s="26"/>
      <c r="U91" s="26"/>
      <c r="V91" s="26"/>
    </row>
    <row r="92" spans="1:22" x14ac:dyDescent="0.25">
      <c r="A92" s="26"/>
      <c r="B92" s="26"/>
      <c r="C92" s="26"/>
      <c r="D92" s="26"/>
      <c r="E92" s="319"/>
      <c r="F92" s="26"/>
      <c r="G92" s="26"/>
      <c r="H92" s="26"/>
      <c r="I92" s="26"/>
      <c r="J92" s="26"/>
      <c r="K92" s="26"/>
      <c r="L92" s="26"/>
      <c r="M92" s="26"/>
      <c r="N92" s="26"/>
      <c r="O92" s="26"/>
      <c r="P92" s="26"/>
      <c r="Q92" s="26"/>
      <c r="R92" s="26"/>
      <c r="S92" s="26"/>
      <c r="T92" s="26"/>
      <c r="U92" s="26"/>
      <c r="V92" s="26"/>
    </row>
    <row r="93" spans="1:22" x14ac:dyDescent="0.25">
      <c r="A93" s="26"/>
      <c r="B93" s="26"/>
      <c r="C93" s="26"/>
      <c r="D93" s="26"/>
      <c r="E93" s="319"/>
      <c r="F93" s="26"/>
      <c r="G93" s="26"/>
      <c r="H93" s="26"/>
      <c r="I93" s="26"/>
      <c r="J93" s="26"/>
      <c r="K93" s="26"/>
      <c r="L93" s="26"/>
      <c r="M93" s="26"/>
      <c r="N93" s="26"/>
      <c r="O93" s="26"/>
      <c r="P93" s="26"/>
      <c r="Q93" s="26"/>
      <c r="R93" s="26"/>
      <c r="S93" s="26"/>
      <c r="T93" s="26"/>
      <c r="U93" s="26"/>
      <c r="V93" s="26"/>
    </row>
    <row r="94" spans="1:22" x14ac:dyDescent="0.25">
      <c r="A94" s="26"/>
      <c r="B94" s="26"/>
      <c r="C94" s="26"/>
      <c r="D94" s="26"/>
      <c r="E94" s="319"/>
      <c r="F94" s="26"/>
      <c r="G94" s="26"/>
      <c r="H94" s="26"/>
      <c r="I94" s="26"/>
      <c r="J94" s="26"/>
      <c r="K94" s="26"/>
      <c r="L94" s="26"/>
      <c r="M94" s="26"/>
      <c r="N94" s="26"/>
      <c r="O94" s="26"/>
      <c r="P94" s="26"/>
      <c r="Q94" s="26"/>
      <c r="R94" s="26"/>
      <c r="S94" s="26"/>
      <c r="T94" s="26"/>
      <c r="U94" s="26"/>
      <c r="V94" s="26"/>
    </row>
    <row r="95" spans="1:22" x14ac:dyDescent="0.25">
      <c r="A95" s="26"/>
      <c r="B95" s="26"/>
      <c r="C95" s="26"/>
      <c r="D95" s="26"/>
      <c r="E95" s="319"/>
      <c r="F95" s="26"/>
      <c r="G95" s="26"/>
      <c r="H95" s="26"/>
      <c r="I95" s="26"/>
      <c r="J95" s="26"/>
      <c r="K95" s="26"/>
      <c r="L95" s="26"/>
      <c r="M95" s="26"/>
      <c r="N95" s="26"/>
      <c r="O95" s="26"/>
      <c r="P95" s="26"/>
      <c r="Q95" s="26"/>
      <c r="R95" s="26"/>
      <c r="S95" s="26"/>
      <c r="T95" s="26"/>
      <c r="U95" s="26"/>
      <c r="V95" s="26"/>
    </row>
    <row r="96" spans="1:22" x14ac:dyDescent="0.25">
      <c r="A96" s="26"/>
      <c r="B96" s="26"/>
      <c r="C96" s="26"/>
      <c r="D96" s="26"/>
      <c r="E96" s="319"/>
      <c r="F96" s="26"/>
      <c r="G96" s="26"/>
      <c r="H96" s="26"/>
      <c r="I96" s="26"/>
      <c r="J96" s="26"/>
      <c r="K96" s="26"/>
      <c r="L96" s="26"/>
      <c r="M96" s="26"/>
      <c r="N96" s="26"/>
      <c r="O96" s="26"/>
      <c r="P96" s="26"/>
      <c r="Q96" s="26"/>
      <c r="R96" s="26"/>
      <c r="S96" s="26"/>
      <c r="T96" s="26"/>
      <c r="U96" s="26"/>
      <c r="V96" s="26"/>
    </row>
    <row r="97" spans="1:22" x14ac:dyDescent="0.25">
      <c r="A97" s="26"/>
      <c r="B97" s="26"/>
      <c r="C97" s="26"/>
      <c r="D97" s="26"/>
      <c r="E97" s="319"/>
      <c r="F97" s="26"/>
      <c r="G97" s="26"/>
      <c r="H97" s="26"/>
      <c r="I97" s="26"/>
      <c r="J97" s="26"/>
      <c r="K97" s="26"/>
      <c r="L97" s="26"/>
      <c r="M97" s="26"/>
      <c r="N97" s="26"/>
      <c r="O97" s="26"/>
      <c r="P97" s="26"/>
      <c r="Q97" s="26"/>
      <c r="R97" s="26"/>
      <c r="S97" s="26"/>
      <c r="T97" s="26"/>
      <c r="U97" s="26"/>
      <c r="V97" s="26"/>
    </row>
    <row r="98" spans="1:22" x14ac:dyDescent="0.25">
      <c r="A98" s="26"/>
      <c r="B98" s="26"/>
      <c r="C98" s="26"/>
      <c r="D98" s="26"/>
      <c r="E98" s="319"/>
      <c r="F98" s="26"/>
      <c r="G98" s="26"/>
      <c r="H98" s="26"/>
      <c r="I98" s="26"/>
      <c r="J98" s="26"/>
      <c r="K98" s="26"/>
      <c r="L98" s="26"/>
      <c r="M98" s="26"/>
      <c r="N98" s="26"/>
      <c r="O98" s="26"/>
      <c r="P98" s="26"/>
      <c r="Q98" s="26"/>
      <c r="R98" s="26"/>
      <c r="S98" s="26"/>
      <c r="T98" s="26"/>
      <c r="U98" s="26"/>
      <c r="V98" s="26"/>
    </row>
    <row r="99" spans="1:22" x14ac:dyDescent="0.25">
      <c r="A99" s="26"/>
      <c r="B99" s="26"/>
      <c r="C99" s="26"/>
      <c r="D99" s="26"/>
      <c r="E99" s="319"/>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319"/>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319"/>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319"/>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319"/>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319"/>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319"/>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319"/>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319"/>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319"/>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319"/>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319"/>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319"/>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319"/>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319"/>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319"/>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319"/>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319"/>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319"/>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319"/>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319"/>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319"/>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319"/>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319"/>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319"/>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319"/>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319"/>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319"/>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319"/>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319"/>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319"/>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319"/>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319"/>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319"/>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319"/>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319"/>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319"/>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319"/>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319"/>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319"/>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319"/>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319"/>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319"/>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319"/>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319"/>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319"/>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319"/>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319"/>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319"/>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319"/>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319"/>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319"/>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319"/>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319"/>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319"/>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319"/>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319"/>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319"/>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319"/>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319"/>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319"/>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319"/>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319"/>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319"/>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319"/>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319"/>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319"/>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319"/>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319"/>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319"/>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319"/>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319"/>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319"/>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319"/>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319"/>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319"/>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319"/>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319"/>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319"/>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319"/>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319"/>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319"/>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319"/>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319"/>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319"/>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319"/>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319"/>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319"/>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319"/>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319"/>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319"/>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319"/>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319"/>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319"/>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319"/>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319"/>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319"/>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319"/>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319"/>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319"/>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319"/>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319"/>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319"/>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319"/>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319"/>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319"/>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319"/>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319"/>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319"/>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319"/>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319"/>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319"/>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319"/>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319"/>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319"/>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319"/>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319"/>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319"/>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319"/>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319"/>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319"/>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319"/>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319"/>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319"/>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319"/>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319"/>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319"/>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319"/>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319"/>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319"/>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319"/>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319"/>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319"/>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319"/>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319"/>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319"/>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319"/>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319"/>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319"/>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319"/>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319"/>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319"/>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319"/>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319"/>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319"/>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319"/>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319"/>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319"/>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319"/>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319"/>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319"/>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319"/>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319"/>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319"/>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319"/>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319"/>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319"/>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319"/>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319"/>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319"/>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319"/>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319"/>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319"/>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319"/>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319"/>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319"/>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319"/>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319"/>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319"/>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319"/>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319"/>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319"/>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319"/>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319"/>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319"/>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319"/>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319"/>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319"/>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319"/>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319"/>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319"/>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319"/>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319"/>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319"/>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319"/>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319"/>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319"/>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319"/>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319"/>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319"/>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319"/>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319"/>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319"/>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319"/>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319"/>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319"/>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319"/>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319"/>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319"/>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319"/>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319"/>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319"/>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319"/>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319"/>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319"/>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319"/>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319"/>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319"/>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319"/>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319"/>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319"/>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319"/>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319"/>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319"/>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319"/>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319"/>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319"/>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319"/>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319"/>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319"/>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319"/>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319"/>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319"/>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319"/>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319"/>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319"/>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319"/>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319"/>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319"/>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319"/>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319"/>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319"/>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319"/>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319"/>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319"/>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319"/>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319"/>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319"/>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319"/>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319"/>
      <c r="F338" s="26"/>
      <c r="G338" s="26"/>
      <c r="H338" s="26"/>
      <c r="I338" s="26"/>
      <c r="J338" s="26"/>
      <c r="K338" s="26"/>
      <c r="L338" s="26"/>
      <c r="M338" s="26"/>
      <c r="N338" s="26"/>
      <c r="O338" s="26"/>
      <c r="P338" s="26"/>
      <c r="Q338" s="26"/>
      <c r="R338" s="26"/>
      <c r="S338" s="26"/>
      <c r="T338" s="26"/>
      <c r="U338" s="26"/>
      <c r="V338" s="26"/>
    </row>
    <row r="339" spans="1:22" x14ac:dyDescent="0.25">
      <c r="A339" s="26"/>
      <c r="B339" s="26"/>
      <c r="C339" s="26"/>
      <c r="D339" s="26"/>
      <c r="E339" s="318"/>
      <c r="F339" s="26"/>
      <c r="G339" s="26"/>
      <c r="H339" s="26"/>
      <c r="I339" s="26"/>
      <c r="J339" s="26"/>
      <c r="K339" s="26"/>
      <c r="L339" s="26"/>
      <c r="M339" s="26"/>
      <c r="N339" s="26"/>
      <c r="O339" s="26"/>
      <c r="P339" s="26"/>
      <c r="Q339" s="26"/>
      <c r="R339" s="26"/>
      <c r="S339" s="26"/>
      <c r="T339" s="26"/>
      <c r="U339" s="26"/>
      <c r="V339" s="26"/>
    </row>
    <row r="340" spans="1:22" x14ac:dyDescent="0.25">
      <c r="A340" s="26"/>
      <c r="B340" s="26"/>
      <c r="C340" s="26"/>
      <c r="D340" s="26"/>
      <c r="E340" s="318"/>
      <c r="F340" s="26"/>
      <c r="G340" s="26"/>
      <c r="H340" s="26"/>
      <c r="I340" s="26"/>
      <c r="J340" s="26"/>
      <c r="K340" s="26"/>
      <c r="L340" s="26"/>
      <c r="M340" s="26"/>
      <c r="N340" s="26"/>
      <c r="O340" s="26"/>
      <c r="P340" s="26"/>
      <c r="Q340" s="26"/>
      <c r="R340" s="26"/>
      <c r="S340" s="26"/>
      <c r="T340" s="26"/>
      <c r="U340" s="26"/>
      <c r="V340" s="26"/>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R24" sqref="R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11" width="9" style="65" customWidth="1"/>
    <col min="12" max="23" width="9" style="64" customWidth="1"/>
    <col min="24" max="27" width="9.140625" style="64" customWidth="1"/>
    <col min="28" max="28" width="13.140625" style="64" customWidth="1"/>
    <col min="29" max="29" width="24.85546875" style="64" customWidth="1"/>
    <col min="30" max="16384" width="9.140625" style="64"/>
  </cols>
  <sheetData>
    <row r="1" spans="1:29" ht="18.75" x14ac:dyDescent="0.25">
      <c r="A1" s="65"/>
      <c r="B1" s="65"/>
      <c r="C1" s="65"/>
      <c r="D1" s="65"/>
      <c r="E1" s="65"/>
      <c r="F1" s="65"/>
      <c r="L1" s="65"/>
      <c r="M1" s="65"/>
      <c r="AC1" s="42" t="s">
        <v>66</v>
      </c>
    </row>
    <row r="2" spans="1:29" ht="18.75" x14ac:dyDescent="0.3">
      <c r="A2" s="65"/>
      <c r="B2" s="65"/>
      <c r="C2" s="65"/>
      <c r="D2" s="65"/>
      <c r="E2" s="65"/>
      <c r="F2" s="65"/>
      <c r="L2" s="65"/>
      <c r="M2" s="65"/>
      <c r="AC2" s="14" t="s">
        <v>8</v>
      </c>
    </row>
    <row r="3" spans="1:29" ht="18.75" x14ac:dyDescent="0.3">
      <c r="A3" s="65"/>
      <c r="B3" s="65"/>
      <c r="C3" s="65"/>
      <c r="D3" s="65"/>
      <c r="E3" s="65"/>
      <c r="F3" s="65"/>
      <c r="L3" s="65"/>
      <c r="M3" s="65"/>
      <c r="AC3" s="14" t="s">
        <v>65</v>
      </c>
    </row>
    <row r="4" spans="1:29" ht="18.75" customHeight="1" x14ac:dyDescent="0.25">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5"/>
      <c r="B5" s="65"/>
      <c r="C5" s="65"/>
      <c r="D5" s="65"/>
      <c r="E5" s="65"/>
      <c r="F5" s="65"/>
      <c r="L5" s="65"/>
      <c r="M5" s="65"/>
      <c r="AC5" s="14"/>
    </row>
    <row r="6" spans="1:29"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row>
    <row r="8" spans="1:29" x14ac:dyDescent="0.25">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row>
    <row r="11" spans="1:29" x14ac:dyDescent="0.25">
      <c r="A11" s="403" t="str">
        <f>'1. паспорт местоположение'!A12:C12</f>
        <v>Н_16-0190</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row>
    <row r="14" spans="1:29" x14ac:dyDescent="0.25">
      <c r="A14"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83" t="s">
        <v>490</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79" t="s">
        <v>183</v>
      </c>
      <c r="B20" s="479" t="s">
        <v>182</v>
      </c>
      <c r="C20" s="464" t="s">
        <v>181</v>
      </c>
      <c r="D20" s="464"/>
      <c r="E20" s="482" t="s">
        <v>180</v>
      </c>
      <c r="F20" s="482"/>
      <c r="G20" s="479" t="s">
        <v>638</v>
      </c>
      <c r="H20" s="472" t="s">
        <v>640</v>
      </c>
      <c r="I20" s="473"/>
      <c r="J20" s="473"/>
      <c r="K20" s="473"/>
      <c r="L20" s="472" t="s">
        <v>641</v>
      </c>
      <c r="M20" s="473"/>
      <c r="N20" s="473"/>
      <c r="O20" s="473"/>
      <c r="P20" s="472" t="s">
        <v>642</v>
      </c>
      <c r="Q20" s="473"/>
      <c r="R20" s="473"/>
      <c r="S20" s="473"/>
      <c r="T20" s="472" t="s">
        <v>643</v>
      </c>
      <c r="U20" s="473"/>
      <c r="V20" s="473"/>
      <c r="W20" s="473"/>
      <c r="X20" s="472" t="s">
        <v>644</v>
      </c>
      <c r="Y20" s="473"/>
      <c r="Z20" s="473"/>
      <c r="AA20" s="473"/>
      <c r="AB20" s="484" t="s">
        <v>179</v>
      </c>
      <c r="AC20" s="485"/>
      <c r="AD20" s="86"/>
      <c r="AE20" s="86"/>
      <c r="AF20" s="86"/>
    </row>
    <row r="21" spans="1:32" ht="99.75" customHeight="1" x14ac:dyDescent="0.25">
      <c r="A21" s="480"/>
      <c r="B21" s="480"/>
      <c r="C21" s="464"/>
      <c r="D21" s="464"/>
      <c r="E21" s="482"/>
      <c r="F21" s="482"/>
      <c r="G21" s="480"/>
      <c r="H21" s="464" t="s">
        <v>2</v>
      </c>
      <c r="I21" s="464"/>
      <c r="J21" s="464" t="s">
        <v>639</v>
      </c>
      <c r="K21" s="464"/>
      <c r="L21" s="464" t="s">
        <v>2</v>
      </c>
      <c r="M21" s="464"/>
      <c r="N21" s="464" t="s">
        <v>639</v>
      </c>
      <c r="O21" s="464"/>
      <c r="P21" s="464" t="s">
        <v>2</v>
      </c>
      <c r="Q21" s="464"/>
      <c r="R21" s="464" t="s">
        <v>639</v>
      </c>
      <c r="S21" s="464"/>
      <c r="T21" s="474" t="s">
        <v>2</v>
      </c>
      <c r="U21" s="475"/>
      <c r="V21" s="464" t="s">
        <v>639</v>
      </c>
      <c r="W21" s="464"/>
      <c r="X21" s="476" t="s">
        <v>2</v>
      </c>
      <c r="Y21" s="477"/>
      <c r="Z21" s="464" t="s">
        <v>639</v>
      </c>
      <c r="AA21" s="464"/>
      <c r="AB21" s="486"/>
      <c r="AC21" s="487"/>
    </row>
    <row r="22" spans="1:32" ht="89.25" customHeight="1" x14ac:dyDescent="0.25">
      <c r="A22" s="481"/>
      <c r="B22" s="481"/>
      <c r="C22" s="83" t="s">
        <v>2</v>
      </c>
      <c r="D22" s="83" t="s">
        <v>178</v>
      </c>
      <c r="E22" s="85" t="s">
        <v>646</v>
      </c>
      <c r="F22" s="85" t="s">
        <v>755</v>
      </c>
      <c r="G22" s="481"/>
      <c r="H22" s="84" t="s">
        <v>471</v>
      </c>
      <c r="I22" s="84" t="s">
        <v>472</v>
      </c>
      <c r="J22" s="84" t="s">
        <v>471</v>
      </c>
      <c r="K22" s="84" t="s">
        <v>472</v>
      </c>
      <c r="L22" s="84" t="s">
        <v>471</v>
      </c>
      <c r="M22" s="84" t="s">
        <v>472</v>
      </c>
      <c r="N22" s="84" t="s">
        <v>471</v>
      </c>
      <c r="O22" s="84" t="s">
        <v>472</v>
      </c>
      <c r="P22" s="84" t="s">
        <v>471</v>
      </c>
      <c r="Q22" s="84" t="s">
        <v>472</v>
      </c>
      <c r="R22" s="84" t="s">
        <v>471</v>
      </c>
      <c r="S22" s="84" t="s">
        <v>472</v>
      </c>
      <c r="T22" s="176" t="s">
        <v>471</v>
      </c>
      <c r="U22" s="176" t="s">
        <v>472</v>
      </c>
      <c r="V22" s="176" t="s">
        <v>471</v>
      </c>
      <c r="W22" s="176" t="s">
        <v>472</v>
      </c>
      <c r="X22" s="176" t="s">
        <v>471</v>
      </c>
      <c r="Y22" s="176" t="s">
        <v>472</v>
      </c>
      <c r="Z22" s="176" t="s">
        <v>471</v>
      </c>
      <c r="AA22" s="176" t="s">
        <v>472</v>
      </c>
      <c r="AB22" s="83" t="s">
        <v>2</v>
      </c>
      <c r="AC22" s="297" t="s">
        <v>9</v>
      </c>
    </row>
    <row r="23" spans="1:32" ht="19.5" customHeight="1" x14ac:dyDescent="0.25">
      <c r="A23" s="76">
        <v>1</v>
      </c>
      <c r="B23" s="76">
        <v>2</v>
      </c>
      <c r="C23" s="76">
        <v>3</v>
      </c>
      <c r="D23" s="76">
        <v>4</v>
      </c>
      <c r="E23" s="76">
        <v>5</v>
      </c>
      <c r="F23" s="76">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A23" si="0">T23+1</f>
        <v>21</v>
      </c>
      <c r="V23" s="175">
        <f t="shared" si="0"/>
        <v>22</v>
      </c>
      <c r="W23" s="175">
        <f t="shared" si="0"/>
        <v>23</v>
      </c>
      <c r="X23" s="175">
        <f t="shared" si="0"/>
        <v>24</v>
      </c>
      <c r="Y23" s="175">
        <f t="shared" si="0"/>
        <v>25</v>
      </c>
      <c r="Z23" s="175">
        <f t="shared" si="0"/>
        <v>26</v>
      </c>
      <c r="AA23" s="175">
        <f t="shared" si="0"/>
        <v>27</v>
      </c>
      <c r="AB23" s="313">
        <f t="shared" ref="AB23" si="1">AA23+1</f>
        <v>28</v>
      </c>
      <c r="AC23" s="313">
        <f t="shared" ref="AC23" si="2">AB23+1</f>
        <v>29</v>
      </c>
    </row>
    <row r="24" spans="1:32" ht="47.25" customHeight="1" x14ac:dyDescent="0.25">
      <c r="A24" s="81">
        <v>1</v>
      </c>
      <c r="B24" s="80" t="s">
        <v>177</v>
      </c>
      <c r="C24" s="298">
        <v>110.96159614740209</v>
      </c>
      <c r="D24" s="298">
        <v>0</v>
      </c>
      <c r="E24" s="298">
        <f t="shared" ref="E24" si="3">SUM(E25:E29)</f>
        <v>110.88590522040201</v>
      </c>
      <c r="F24" s="301">
        <f>E24-G24-J24-N24</f>
        <v>0.79442171040200549</v>
      </c>
      <c r="G24" s="298">
        <v>0</v>
      </c>
      <c r="H24" s="298">
        <f t="shared" ref="H24:M24" si="4">SUM(H25:H29)</f>
        <v>0</v>
      </c>
      <c r="I24" s="298">
        <f t="shared" si="4"/>
        <v>0</v>
      </c>
      <c r="J24" s="298">
        <f t="shared" si="4"/>
        <v>2.3052929743999999</v>
      </c>
      <c r="K24" s="298">
        <f t="shared" si="4"/>
        <v>0</v>
      </c>
      <c r="L24" s="298">
        <f t="shared" si="4"/>
        <v>98.580612246002005</v>
      </c>
      <c r="M24" s="298">
        <f t="shared" si="4"/>
        <v>0</v>
      </c>
      <c r="N24" s="298">
        <f t="shared" ref="N24" si="5">SUM(N25:N29)</f>
        <v>107.7861905356</v>
      </c>
      <c r="O24" s="298">
        <v>0</v>
      </c>
      <c r="P24" s="298">
        <f t="shared" ref="P24:AA24" si="6">SUM(P25:P29)</f>
        <v>10</v>
      </c>
      <c r="Q24" s="298">
        <f t="shared" si="6"/>
        <v>0</v>
      </c>
      <c r="R24" s="298">
        <f t="shared" si="6"/>
        <v>4.3119343099999998</v>
      </c>
      <c r="S24" s="298">
        <f t="shared" si="6"/>
        <v>0</v>
      </c>
      <c r="T24" s="298">
        <f t="shared" si="6"/>
        <v>0</v>
      </c>
      <c r="U24" s="298">
        <f t="shared" si="6"/>
        <v>0</v>
      </c>
      <c r="V24" s="298">
        <f t="shared" si="6"/>
        <v>0</v>
      </c>
      <c r="W24" s="298">
        <f t="shared" si="6"/>
        <v>0</v>
      </c>
      <c r="X24" s="298">
        <f t="shared" si="6"/>
        <v>0</v>
      </c>
      <c r="Y24" s="298">
        <f t="shared" si="6"/>
        <v>0</v>
      </c>
      <c r="Z24" s="298">
        <f t="shared" si="6"/>
        <v>0</v>
      </c>
      <c r="AA24" s="298">
        <f t="shared" si="6"/>
        <v>0</v>
      </c>
      <c r="AB24" s="303">
        <f t="shared" ref="AB24:AB64" si="7">H24+L24+P24+T24+X24</f>
        <v>108.580612246002</v>
      </c>
      <c r="AC24" s="323">
        <f>J24+N24+R24+V24+Z24</f>
        <v>114.40341782</v>
      </c>
    </row>
    <row r="25" spans="1:32" ht="24" customHeight="1" x14ac:dyDescent="0.25">
      <c r="A25" s="78" t="s">
        <v>176</v>
      </c>
      <c r="B25" s="49" t="s">
        <v>175</v>
      </c>
      <c r="C25" s="298">
        <v>0</v>
      </c>
      <c r="D25" s="298">
        <v>0</v>
      </c>
      <c r="E25" s="301">
        <v>0</v>
      </c>
      <c r="F25" s="301">
        <f t="shared" ref="F25:F29" si="8">E25-G25-J25-N25</f>
        <v>0</v>
      </c>
      <c r="G25" s="299">
        <v>0</v>
      </c>
      <c r="H25" s="299">
        <v>0</v>
      </c>
      <c r="I25" s="299">
        <v>0</v>
      </c>
      <c r="J25" s="299">
        <v>0</v>
      </c>
      <c r="K25" s="299">
        <v>0</v>
      </c>
      <c r="L25" s="299">
        <v>0</v>
      </c>
      <c r="M25" s="299">
        <v>0</v>
      </c>
      <c r="N25" s="299">
        <v>0</v>
      </c>
      <c r="O25" s="299">
        <v>0</v>
      </c>
      <c r="P25" s="299">
        <v>0</v>
      </c>
      <c r="Q25" s="299">
        <v>0</v>
      </c>
      <c r="R25" s="299">
        <v>0</v>
      </c>
      <c r="S25" s="299">
        <v>0</v>
      </c>
      <c r="T25" s="299">
        <v>0</v>
      </c>
      <c r="U25" s="299">
        <v>0</v>
      </c>
      <c r="V25" s="299">
        <v>0</v>
      </c>
      <c r="W25" s="299">
        <v>0</v>
      </c>
      <c r="X25" s="299">
        <v>0</v>
      </c>
      <c r="Y25" s="299">
        <v>0</v>
      </c>
      <c r="Z25" s="299">
        <v>0</v>
      </c>
      <c r="AA25" s="299">
        <v>0</v>
      </c>
      <c r="AB25" s="303">
        <f t="shared" si="7"/>
        <v>0</v>
      </c>
      <c r="AC25" s="323">
        <f t="shared" ref="AC25:AC64" si="9">J25+N25+R25+V25+Z25</f>
        <v>0</v>
      </c>
    </row>
    <row r="26" spans="1:32" x14ac:dyDescent="0.25">
      <c r="A26" s="78" t="s">
        <v>174</v>
      </c>
      <c r="B26" s="49" t="s">
        <v>173</v>
      </c>
      <c r="C26" s="298">
        <v>0</v>
      </c>
      <c r="D26" s="298">
        <v>0</v>
      </c>
      <c r="E26" s="301">
        <v>0</v>
      </c>
      <c r="F26" s="301">
        <f t="shared" si="8"/>
        <v>0</v>
      </c>
      <c r="G26" s="299">
        <v>0</v>
      </c>
      <c r="H26" s="299">
        <v>0</v>
      </c>
      <c r="I26" s="299">
        <v>0</v>
      </c>
      <c r="J26" s="299">
        <v>0</v>
      </c>
      <c r="K26" s="299">
        <v>0</v>
      </c>
      <c r="L26" s="299">
        <v>0</v>
      </c>
      <c r="M26" s="299">
        <v>0</v>
      </c>
      <c r="N26" s="299">
        <v>0</v>
      </c>
      <c r="O26" s="299">
        <v>0</v>
      </c>
      <c r="P26" s="299">
        <v>0</v>
      </c>
      <c r="Q26" s="299">
        <v>0</v>
      </c>
      <c r="R26" s="299">
        <v>0</v>
      </c>
      <c r="S26" s="299">
        <v>0</v>
      </c>
      <c r="T26" s="299">
        <v>0</v>
      </c>
      <c r="U26" s="299">
        <v>0</v>
      </c>
      <c r="V26" s="299">
        <v>0</v>
      </c>
      <c r="W26" s="299">
        <v>0</v>
      </c>
      <c r="X26" s="299">
        <v>0</v>
      </c>
      <c r="Y26" s="299">
        <v>0</v>
      </c>
      <c r="Z26" s="299">
        <v>0</v>
      </c>
      <c r="AA26" s="299">
        <v>0</v>
      </c>
      <c r="AB26" s="303">
        <f t="shared" si="7"/>
        <v>0</v>
      </c>
      <c r="AC26" s="323">
        <f t="shared" si="9"/>
        <v>0</v>
      </c>
    </row>
    <row r="27" spans="1:32" ht="31.5" x14ac:dyDescent="0.25">
      <c r="A27" s="78" t="s">
        <v>172</v>
      </c>
      <c r="B27" s="49" t="s">
        <v>427</v>
      </c>
      <c r="C27" s="298">
        <v>0</v>
      </c>
      <c r="D27" s="298">
        <v>0</v>
      </c>
      <c r="E27" s="301">
        <v>0</v>
      </c>
      <c r="F27" s="301">
        <f t="shared" si="8"/>
        <v>0</v>
      </c>
      <c r="G27" s="299">
        <v>0</v>
      </c>
      <c r="H27" s="299">
        <v>0</v>
      </c>
      <c r="I27" s="299">
        <v>0</v>
      </c>
      <c r="J27" s="299">
        <v>0</v>
      </c>
      <c r="K27" s="299">
        <v>0</v>
      </c>
      <c r="L27" s="300">
        <v>0</v>
      </c>
      <c r="M27" s="299">
        <v>0</v>
      </c>
      <c r="N27" s="300">
        <v>0</v>
      </c>
      <c r="O27" s="299">
        <v>0</v>
      </c>
      <c r="P27" s="299">
        <v>0</v>
      </c>
      <c r="Q27" s="299">
        <v>0</v>
      </c>
      <c r="R27" s="299">
        <v>0</v>
      </c>
      <c r="S27" s="299">
        <v>0</v>
      </c>
      <c r="T27" s="299">
        <v>0</v>
      </c>
      <c r="U27" s="299">
        <v>0</v>
      </c>
      <c r="V27" s="299">
        <v>0</v>
      </c>
      <c r="W27" s="299">
        <v>0</v>
      </c>
      <c r="X27" s="299">
        <v>0</v>
      </c>
      <c r="Y27" s="299">
        <v>0</v>
      </c>
      <c r="Z27" s="299">
        <v>0</v>
      </c>
      <c r="AA27" s="299">
        <v>0</v>
      </c>
      <c r="AB27" s="303">
        <f t="shared" si="7"/>
        <v>0</v>
      </c>
      <c r="AC27" s="323">
        <f t="shared" si="9"/>
        <v>0</v>
      </c>
    </row>
    <row r="28" spans="1:32" x14ac:dyDescent="0.25">
      <c r="A28" s="78" t="s">
        <v>171</v>
      </c>
      <c r="B28" s="49" t="s">
        <v>170</v>
      </c>
      <c r="C28" s="298">
        <v>110.88590522040201</v>
      </c>
      <c r="D28" s="298">
        <v>0</v>
      </c>
      <c r="E28" s="301">
        <v>110.88590522040201</v>
      </c>
      <c r="F28" s="301">
        <f t="shared" si="8"/>
        <v>0.79442171040200549</v>
      </c>
      <c r="G28" s="299">
        <v>0</v>
      </c>
      <c r="H28" s="299">
        <v>0</v>
      </c>
      <c r="I28" s="299">
        <v>0</v>
      </c>
      <c r="J28" s="299">
        <v>2.3052929743999999</v>
      </c>
      <c r="K28" s="299">
        <v>0</v>
      </c>
      <c r="L28" s="299">
        <v>98.580612246002005</v>
      </c>
      <c r="M28" s="299">
        <v>0</v>
      </c>
      <c r="N28" s="299">
        <v>107.7861905356</v>
      </c>
      <c r="O28" s="299">
        <v>0</v>
      </c>
      <c r="P28" s="299">
        <v>10</v>
      </c>
      <c r="Q28" s="299">
        <v>0</v>
      </c>
      <c r="R28" s="299">
        <v>4.3119343099999998</v>
      </c>
      <c r="S28" s="299">
        <v>0</v>
      </c>
      <c r="T28" s="299">
        <v>0</v>
      </c>
      <c r="U28" s="299">
        <v>0</v>
      </c>
      <c r="V28" s="299">
        <v>0</v>
      </c>
      <c r="W28" s="299">
        <v>0</v>
      </c>
      <c r="X28" s="299">
        <v>0</v>
      </c>
      <c r="Y28" s="299">
        <v>0</v>
      </c>
      <c r="Z28" s="299">
        <v>0</v>
      </c>
      <c r="AA28" s="299">
        <v>0</v>
      </c>
      <c r="AB28" s="303">
        <f t="shared" si="7"/>
        <v>108.580612246002</v>
      </c>
      <c r="AC28" s="323">
        <f t="shared" si="9"/>
        <v>114.40341782</v>
      </c>
    </row>
    <row r="29" spans="1:32" x14ac:dyDescent="0.25">
      <c r="A29" s="78" t="s">
        <v>169</v>
      </c>
      <c r="B29" s="82" t="s">
        <v>168</v>
      </c>
      <c r="C29" s="298">
        <v>0</v>
      </c>
      <c r="D29" s="298">
        <v>0</v>
      </c>
      <c r="E29" s="301">
        <v>0</v>
      </c>
      <c r="F29" s="301">
        <f t="shared" si="8"/>
        <v>0</v>
      </c>
      <c r="G29" s="299">
        <v>0</v>
      </c>
      <c r="H29" s="299">
        <v>0</v>
      </c>
      <c r="I29" s="299">
        <v>0</v>
      </c>
      <c r="J29" s="299">
        <v>0</v>
      </c>
      <c r="K29" s="299">
        <v>0</v>
      </c>
      <c r="L29" s="299">
        <v>0</v>
      </c>
      <c r="M29" s="299">
        <v>0</v>
      </c>
      <c r="N29" s="299">
        <v>0</v>
      </c>
      <c r="O29" s="299">
        <v>0</v>
      </c>
      <c r="P29" s="299">
        <v>0</v>
      </c>
      <c r="Q29" s="299">
        <v>0</v>
      </c>
      <c r="R29" s="299">
        <v>0</v>
      </c>
      <c r="S29" s="299">
        <v>0</v>
      </c>
      <c r="T29" s="299">
        <v>0</v>
      </c>
      <c r="U29" s="299">
        <v>0</v>
      </c>
      <c r="V29" s="299">
        <v>0</v>
      </c>
      <c r="W29" s="299">
        <v>0</v>
      </c>
      <c r="X29" s="299">
        <v>0</v>
      </c>
      <c r="Y29" s="299">
        <v>0</v>
      </c>
      <c r="Z29" s="299">
        <v>0</v>
      </c>
      <c r="AA29" s="299">
        <v>0</v>
      </c>
      <c r="AB29" s="303">
        <f t="shared" si="7"/>
        <v>0</v>
      </c>
      <c r="AC29" s="323">
        <f t="shared" si="9"/>
        <v>0</v>
      </c>
    </row>
    <row r="30" spans="1:32" ht="47.25" x14ac:dyDescent="0.25">
      <c r="A30" s="81" t="s">
        <v>61</v>
      </c>
      <c r="B30" s="80" t="s">
        <v>167</v>
      </c>
      <c r="C30" s="298">
        <v>94.035250972374584</v>
      </c>
      <c r="D30" s="298">
        <v>0</v>
      </c>
      <c r="E30" s="301">
        <v>94.035250972374584</v>
      </c>
      <c r="F30" s="301">
        <v>0</v>
      </c>
      <c r="G30" s="298">
        <v>0</v>
      </c>
      <c r="H30" s="298">
        <v>0</v>
      </c>
      <c r="I30" s="298">
        <v>0</v>
      </c>
      <c r="J30" s="298">
        <v>41.359351230000001</v>
      </c>
      <c r="K30" s="298">
        <v>0</v>
      </c>
      <c r="L30" s="302">
        <v>52.675899742374583</v>
      </c>
      <c r="M30" s="298">
        <v>0</v>
      </c>
      <c r="N30" s="302">
        <v>57.817962559999991</v>
      </c>
      <c r="O30" s="302">
        <v>0</v>
      </c>
      <c r="P30" s="298">
        <v>0</v>
      </c>
      <c r="Q30" s="298">
        <v>0</v>
      </c>
      <c r="R30" s="298">
        <v>0</v>
      </c>
      <c r="S30" s="298">
        <v>0</v>
      </c>
      <c r="T30" s="298">
        <v>0</v>
      </c>
      <c r="U30" s="298">
        <v>0</v>
      </c>
      <c r="V30" s="298">
        <v>0</v>
      </c>
      <c r="W30" s="298">
        <v>0</v>
      </c>
      <c r="X30" s="298">
        <v>0</v>
      </c>
      <c r="Y30" s="298">
        <v>0</v>
      </c>
      <c r="Z30" s="298">
        <v>0</v>
      </c>
      <c r="AA30" s="298">
        <v>0</v>
      </c>
      <c r="AB30" s="303">
        <f t="shared" si="7"/>
        <v>52.675899742374583</v>
      </c>
      <c r="AC30" s="323">
        <f t="shared" si="9"/>
        <v>99.177313789999999</v>
      </c>
    </row>
    <row r="31" spans="1:32" x14ac:dyDescent="0.25">
      <c r="A31" s="81" t="s">
        <v>166</v>
      </c>
      <c r="B31" s="49" t="s">
        <v>165</v>
      </c>
      <c r="C31" s="298">
        <v>2.15</v>
      </c>
      <c r="D31" s="298">
        <v>0</v>
      </c>
      <c r="E31" s="301">
        <v>2.15</v>
      </c>
      <c r="F31" s="301">
        <v>0</v>
      </c>
      <c r="G31" s="299">
        <v>0</v>
      </c>
      <c r="H31" s="299">
        <v>0</v>
      </c>
      <c r="I31" s="299">
        <v>0</v>
      </c>
      <c r="J31" s="299">
        <v>0</v>
      </c>
      <c r="K31" s="299">
        <v>0</v>
      </c>
      <c r="L31" s="299">
        <v>2.15</v>
      </c>
      <c r="M31" s="299">
        <v>0</v>
      </c>
      <c r="N31" s="299">
        <v>2.15</v>
      </c>
      <c r="O31" s="299">
        <v>0</v>
      </c>
      <c r="P31" s="299">
        <v>0</v>
      </c>
      <c r="Q31" s="299">
        <v>0</v>
      </c>
      <c r="R31" s="299">
        <v>0</v>
      </c>
      <c r="S31" s="299">
        <v>0</v>
      </c>
      <c r="T31" s="299">
        <v>0</v>
      </c>
      <c r="U31" s="299">
        <v>0</v>
      </c>
      <c r="V31" s="299">
        <v>0</v>
      </c>
      <c r="W31" s="299">
        <v>0</v>
      </c>
      <c r="X31" s="299">
        <v>0</v>
      </c>
      <c r="Y31" s="299">
        <v>0</v>
      </c>
      <c r="Z31" s="299">
        <v>0</v>
      </c>
      <c r="AA31" s="299">
        <v>0</v>
      </c>
      <c r="AB31" s="303">
        <f t="shared" si="7"/>
        <v>2.15</v>
      </c>
      <c r="AC31" s="323">
        <f t="shared" si="9"/>
        <v>2.15</v>
      </c>
    </row>
    <row r="32" spans="1:32" ht="31.5" x14ac:dyDescent="0.25">
      <c r="A32" s="81" t="s">
        <v>164</v>
      </c>
      <c r="B32" s="49" t="s">
        <v>163</v>
      </c>
      <c r="C32" s="314">
        <v>48.812248559065594</v>
      </c>
      <c r="D32" s="314">
        <v>0</v>
      </c>
      <c r="E32" s="301">
        <v>48.812248559065594</v>
      </c>
      <c r="F32" s="301">
        <v>0</v>
      </c>
      <c r="G32" s="299">
        <v>0</v>
      </c>
      <c r="H32" s="299">
        <v>0</v>
      </c>
      <c r="I32" s="299">
        <v>0</v>
      </c>
      <c r="J32" s="299">
        <v>17.005739999999999</v>
      </c>
      <c r="K32" s="299">
        <v>0</v>
      </c>
      <c r="L32" s="299">
        <v>31.806508559065595</v>
      </c>
      <c r="M32" s="299">
        <v>0</v>
      </c>
      <c r="N32" s="299">
        <v>33.846575890000004</v>
      </c>
      <c r="O32" s="299">
        <v>0</v>
      </c>
      <c r="P32" s="299">
        <v>0</v>
      </c>
      <c r="Q32" s="299">
        <v>0</v>
      </c>
      <c r="R32" s="299">
        <v>0</v>
      </c>
      <c r="S32" s="299">
        <v>0</v>
      </c>
      <c r="T32" s="299">
        <v>0</v>
      </c>
      <c r="U32" s="299">
        <v>0</v>
      </c>
      <c r="V32" s="299">
        <v>0</v>
      </c>
      <c r="W32" s="299">
        <v>0</v>
      </c>
      <c r="X32" s="299">
        <v>0</v>
      </c>
      <c r="Y32" s="299">
        <v>0</v>
      </c>
      <c r="Z32" s="299">
        <v>0</v>
      </c>
      <c r="AA32" s="299">
        <v>0</v>
      </c>
      <c r="AB32" s="303">
        <f t="shared" si="7"/>
        <v>31.806508559065595</v>
      </c>
      <c r="AC32" s="323">
        <f t="shared" si="9"/>
        <v>50.85231589</v>
      </c>
    </row>
    <row r="33" spans="1:29" x14ac:dyDescent="0.25">
      <c r="A33" s="81" t="s">
        <v>162</v>
      </c>
      <c r="B33" s="49" t="s">
        <v>161</v>
      </c>
      <c r="C33" s="314">
        <v>37.888098882758008</v>
      </c>
      <c r="D33" s="314">
        <v>0</v>
      </c>
      <c r="E33" s="301">
        <v>37.888098882758008</v>
      </c>
      <c r="F33" s="301">
        <v>0</v>
      </c>
      <c r="G33" s="299">
        <v>0</v>
      </c>
      <c r="H33" s="299">
        <v>0</v>
      </c>
      <c r="I33" s="299">
        <v>0</v>
      </c>
      <c r="J33" s="299">
        <v>23.2239</v>
      </c>
      <c r="K33" s="299">
        <v>0</v>
      </c>
      <c r="L33" s="299">
        <v>14.664198882758008</v>
      </c>
      <c r="M33" s="299">
        <v>0</v>
      </c>
      <c r="N33" s="299">
        <v>17.637338</v>
      </c>
      <c r="O33" s="299">
        <v>0</v>
      </c>
      <c r="P33" s="299">
        <v>0</v>
      </c>
      <c r="Q33" s="299">
        <v>0</v>
      </c>
      <c r="R33" s="299">
        <v>0</v>
      </c>
      <c r="S33" s="299">
        <v>0</v>
      </c>
      <c r="T33" s="299">
        <v>0</v>
      </c>
      <c r="U33" s="299">
        <v>0</v>
      </c>
      <c r="V33" s="299">
        <v>0</v>
      </c>
      <c r="W33" s="299">
        <v>0</v>
      </c>
      <c r="X33" s="299">
        <v>0</v>
      </c>
      <c r="Y33" s="299">
        <v>0</v>
      </c>
      <c r="Z33" s="299">
        <v>0</v>
      </c>
      <c r="AA33" s="299">
        <v>0</v>
      </c>
      <c r="AB33" s="303">
        <f t="shared" si="7"/>
        <v>14.664198882758008</v>
      </c>
      <c r="AC33" s="323">
        <f t="shared" si="9"/>
        <v>40.861238</v>
      </c>
    </row>
    <row r="34" spans="1:29" x14ac:dyDescent="0.25">
      <c r="A34" s="81" t="s">
        <v>160</v>
      </c>
      <c r="B34" s="49" t="s">
        <v>159</v>
      </c>
      <c r="C34" s="314">
        <v>5.1849035305509759</v>
      </c>
      <c r="D34" s="314">
        <v>0</v>
      </c>
      <c r="E34" s="301">
        <v>5.1849035305509759</v>
      </c>
      <c r="F34" s="301">
        <v>0</v>
      </c>
      <c r="G34" s="299">
        <v>0</v>
      </c>
      <c r="H34" s="299">
        <v>0</v>
      </c>
      <c r="I34" s="299">
        <v>0</v>
      </c>
      <c r="J34" s="299">
        <v>1.1297112300000001</v>
      </c>
      <c r="K34" s="299">
        <v>0</v>
      </c>
      <c r="L34" s="299">
        <v>4.055192300550976</v>
      </c>
      <c r="M34" s="299">
        <v>0</v>
      </c>
      <c r="N34" s="299">
        <v>4.1840482699999999</v>
      </c>
      <c r="O34" s="299">
        <v>0</v>
      </c>
      <c r="P34" s="299">
        <v>0</v>
      </c>
      <c r="Q34" s="299">
        <v>0</v>
      </c>
      <c r="R34" s="299">
        <v>0</v>
      </c>
      <c r="S34" s="299">
        <v>0</v>
      </c>
      <c r="T34" s="299">
        <v>0</v>
      </c>
      <c r="U34" s="299">
        <v>0</v>
      </c>
      <c r="V34" s="299">
        <v>0</v>
      </c>
      <c r="W34" s="299">
        <v>0</v>
      </c>
      <c r="X34" s="299">
        <v>0</v>
      </c>
      <c r="Y34" s="299">
        <v>0</v>
      </c>
      <c r="Z34" s="299">
        <v>0</v>
      </c>
      <c r="AA34" s="299">
        <v>0</v>
      </c>
      <c r="AB34" s="303">
        <f t="shared" si="7"/>
        <v>4.055192300550976</v>
      </c>
      <c r="AC34" s="323">
        <f t="shared" si="9"/>
        <v>5.3137594999999997</v>
      </c>
    </row>
    <row r="35" spans="1:29" ht="31.5" x14ac:dyDescent="0.25">
      <c r="A35" s="81" t="s">
        <v>60</v>
      </c>
      <c r="B35" s="80" t="s">
        <v>158</v>
      </c>
      <c r="C35" s="298">
        <v>0</v>
      </c>
      <c r="D35" s="298">
        <v>0</v>
      </c>
      <c r="E35" s="301">
        <v>0</v>
      </c>
      <c r="F35" s="301">
        <v>0</v>
      </c>
      <c r="G35" s="298">
        <v>0</v>
      </c>
      <c r="H35" s="298">
        <v>0</v>
      </c>
      <c r="I35" s="298">
        <v>0</v>
      </c>
      <c r="J35" s="298">
        <v>0</v>
      </c>
      <c r="K35" s="298">
        <v>0</v>
      </c>
      <c r="L35" s="302">
        <v>0</v>
      </c>
      <c r="M35" s="298">
        <v>0</v>
      </c>
      <c r="N35" s="298">
        <v>0</v>
      </c>
      <c r="O35" s="298">
        <v>0</v>
      </c>
      <c r="P35" s="298">
        <v>0</v>
      </c>
      <c r="Q35" s="298">
        <v>0</v>
      </c>
      <c r="R35" s="298">
        <v>0</v>
      </c>
      <c r="S35" s="298">
        <v>0</v>
      </c>
      <c r="T35" s="298">
        <v>0</v>
      </c>
      <c r="U35" s="298">
        <v>0</v>
      </c>
      <c r="V35" s="298">
        <v>0</v>
      </c>
      <c r="W35" s="298">
        <v>0</v>
      </c>
      <c r="X35" s="298">
        <v>0</v>
      </c>
      <c r="Y35" s="298">
        <v>0</v>
      </c>
      <c r="Z35" s="298">
        <v>0</v>
      </c>
      <c r="AA35" s="298">
        <v>0</v>
      </c>
      <c r="AB35" s="303">
        <f t="shared" si="7"/>
        <v>0</v>
      </c>
      <c r="AC35" s="323">
        <f t="shared" si="9"/>
        <v>0</v>
      </c>
    </row>
    <row r="36" spans="1:29" ht="31.5" x14ac:dyDescent="0.25">
      <c r="A36" s="78" t="s">
        <v>157</v>
      </c>
      <c r="B36" s="77" t="s">
        <v>156</v>
      </c>
      <c r="C36" s="298">
        <v>0</v>
      </c>
      <c r="D36" s="298">
        <v>0</v>
      </c>
      <c r="E36" s="301">
        <v>0</v>
      </c>
      <c r="F36" s="301">
        <v>0</v>
      </c>
      <c r="G36" s="299">
        <v>0</v>
      </c>
      <c r="H36" s="299">
        <v>0</v>
      </c>
      <c r="I36" s="299">
        <v>0</v>
      </c>
      <c r="J36" s="299">
        <v>0</v>
      </c>
      <c r="K36" s="299">
        <v>0</v>
      </c>
      <c r="L36" s="299">
        <v>0</v>
      </c>
      <c r="M36" s="299">
        <v>0</v>
      </c>
      <c r="N36" s="299">
        <v>0</v>
      </c>
      <c r="O36" s="299">
        <v>0</v>
      </c>
      <c r="P36" s="299">
        <v>0</v>
      </c>
      <c r="Q36" s="299">
        <v>0</v>
      </c>
      <c r="R36" s="299">
        <v>0</v>
      </c>
      <c r="S36" s="299">
        <v>0</v>
      </c>
      <c r="T36" s="299">
        <v>0</v>
      </c>
      <c r="U36" s="299">
        <v>0</v>
      </c>
      <c r="V36" s="299">
        <v>0</v>
      </c>
      <c r="W36" s="299">
        <v>0</v>
      </c>
      <c r="X36" s="299">
        <v>0</v>
      </c>
      <c r="Y36" s="299">
        <v>0</v>
      </c>
      <c r="Z36" s="299">
        <v>0</v>
      </c>
      <c r="AA36" s="299">
        <v>0</v>
      </c>
      <c r="AB36" s="303">
        <f t="shared" si="7"/>
        <v>0</v>
      </c>
      <c r="AC36" s="323">
        <f t="shared" si="9"/>
        <v>0</v>
      </c>
    </row>
    <row r="37" spans="1:29" x14ac:dyDescent="0.25">
      <c r="A37" s="78" t="s">
        <v>155</v>
      </c>
      <c r="B37" s="77" t="s">
        <v>145</v>
      </c>
      <c r="C37" s="298">
        <v>3.06</v>
      </c>
      <c r="D37" s="298">
        <v>0</v>
      </c>
      <c r="E37" s="301">
        <v>3.06</v>
      </c>
      <c r="F37" s="301">
        <v>0</v>
      </c>
      <c r="G37" s="299">
        <v>0</v>
      </c>
      <c r="H37" s="299">
        <v>0</v>
      </c>
      <c r="I37" s="299">
        <v>0</v>
      </c>
      <c r="J37" s="299">
        <v>0</v>
      </c>
      <c r="K37" s="299">
        <v>0</v>
      </c>
      <c r="L37" s="300">
        <v>3.06</v>
      </c>
      <c r="M37" s="299">
        <v>0</v>
      </c>
      <c r="N37" s="299">
        <v>3.06</v>
      </c>
      <c r="O37" s="299">
        <v>0</v>
      </c>
      <c r="P37" s="299">
        <v>0</v>
      </c>
      <c r="Q37" s="299">
        <v>0</v>
      </c>
      <c r="R37" s="299">
        <v>0</v>
      </c>
      <c r="S37" s="299">
        <v>0</v>
      </c>
      <c r="T37" s="299">
        <v>0</v>
      </c>
      <c r="U37" s="299">
        <v>0</v>
      </c>
      <c r="V37" s="299">
        <v>0</v>
      </c>
      <c r="W37" s="299">
        <v>0</v>
      </c>
      <c r="X37" s="299">
        <v>0</v>
      </c>
      <c r="Y37" s="299">
        <v>0</v>
      </c>
      <c r="Z37" s="299">
        <v>0</v>
      </c>
      <c r="AA37" s="299">
        <v>0</v>
      </c>
      <c r="AB37" s="303">
        <f t="shared" si="7"/>
        <v>3.06</v>
      </c>
      <c r="AC37" s="323">
        <f t="shared" si="9"/>
        <v>3.06</v>
      </c>
    </row>
    <row r="38" spans="1:29" x14ac:dyDescent="0.25">
      <c r="A38" s="78" t="s">
        <v>154</v>
      </c>
      <c r="B38" s="77" t="s">
        <v>143</v>
      </c>
      <c r="C38" s="298">
        <v>0</v>
      </c>
      <c r="D38" s="298">
        <v>0</v>
      </c>
      <c r="E38" s="301">
        <v>0</v>
      </c>
      <c r="F38" s="301">
        <v>0</v>
      </c>
      <c r="G38" s="299">
        <v>0</v>
      </c>
      <c r="H38" s="299">
        <v>0</v>
      </c>
      <c r="I38" s="299">
        <v>0</v>
      </c>
      <c r="J38" s="299">
        <v>0</v>
      </c>
      <c r="K38" s="299">
        <v>0</v>
      </c>
      <c r="L38" s="299">
        <v>0</v>
      </c>
      <c r="M38" s="299">
        <v>0</v>
      </c>
      <c r="N38" s="299">
        <v>0</v>
      </c>
      <c r="O38" s="299">
        <v>0</v>
      </c>
      <c r="P38" s="299">
        <v>0</v>
      </c>
      <c r="Q38" s="299">
        <v>0</v>
      </c>
      <c r="R38" s="299">
        <v>0</v>
      </c>
      <c r="S38" s="299">
        <v>0</v>
      </c>
      <c r="T38" s="299">
        <v>0</v>
      </c>
      <c r="U38" s="299">
        <v>0</v>
      </c>
      <c r="V38" s="299">
        <v>0</v>
      </c>
      <c r="W38" s="299">
        <v>0</v>
      </c>
      <c r="X38" s="299">
        <v>0</v>
      </c>
      <c r="Y38" s="299">
        <v>0</v>
      </c>
      <c r="Z38" s="299">
        <v>0</v>
      </c>
      <c r="AA38" s="299">
        <v>0</v>
      </c>
      <c r="AB38" s="303">
        <f t="shared" si="7"/>
        <v>0</v>
      </c>
      <c r="AC38" s="323">
        <f t="shared" si="9"/>
        <v>0</v>
      </c>
    </row>
    <row r="39" spans="1:29" ht="31.5" x14ac:dyDescent="0.25">
      <c r="A39" s="78" t="s">
        <v>153</v>
      </c>
      <c r="B39" s="49" t="s">
        <v>141</v>
      </c>
      <c r="C39" s="298">
        <v>0</v>
      </c>
      <c r="D39" s="298">
        <v>0</v>
      </c>
      <c r="E39" s="301">
        <v>0</v>
      </c>
      <c r="F39" s="301">
        <v>0</v>
      </c>
      <c r="G39" s="299">
        <v>0</v>
      </c>
      <c r="H39" s="299">
        <v>0</v>
      </c>
      <c r="I39" s="299">
        <v>0</v>
      </c>
      <c r="J39" s="299">
        <v>0</v>
      </c>
      <c r="K39" s="299">
        <v>0</v>
      </c>
      <c r="L39" s="299">
        <v>0</v>
      </c>
      <c r="M39" s="299">
        <v>0</v>
      </c>
      <c r="N39" s="299">
        <v>0</v>
      </c>
      <c r="O39" s="299">
        <v>0</v>
      </c>
      <c r="P39" s="299">
        <v>0</v>
      </c>
      <c r="Q39" s="299">
        <v>0</v>
      </c>
      <c r="R39" s="299">
        <v>0</v>
      </c>
      <c r="S39" s="299">
        <v>0</v>
      </c>
      <c r="T39" s="299">
        <v>0</v>
      </c>
      <c r="U39" s="299">
        <v>0</v>
      </c>
      <c r="V39" s="299">
        <v>0</v>
      </c>
      <c r="W39" s="299">
        <v>0</v>
      </c>
      <c r="X39" s="299">
        <v>0</v>
      </c>
      <c r="Y39" s="299">
        <v>0</v>
      </c>
      <c r="Z39" s="299">
        <v>0</v>
      </c>
      <c r="AA39" s="299">
        <v>0</v>
      </c>
      <c r="AB39" s="303">
        <f t="shared" si="7"/>
        <v>0</v>
      </c>
      <c r="AC39" s="323">
        <f t="shared" si="9"/>
        <v>0</v>
      </c>
    </row>
    <row r="40" spans="1:29" ht="31.5" x14ac:dyDescent="0.25">
      <c r="A40" s="78" t="s">
        <v>152</v>
      </c>
      <c r="B40" s="49" t="s">
        <v>139</v>
      </c>
      <c r="C40" s="298">
        <v>0</v>
      </c>
      <c r="D40" s="298">
        <v>0</v>
      </c>
      <c r="E40" s="301">
        <v>0</v>
      </c>
      <c r="F40" s="301">
        <v>0</v>
      </c>
      <c r="G40" s="299">
        <v>0</v>
      </c>
      <c r="H40" s="299">
        <v>0</v>
      </c>
      <c r="I40" s="299">
        <v>0</v>
      </c>
      <c r="J40" s="299">
        <v>0</v>
      </c>
      <c r="K40" s="299">
        <v>0</v>
      </c>
      <c r="L40" s="299">
        <v>0</v>
      </c>
      <c r="M40" s="299">
        <v>0</v>
      </c>
      <c r="N40" s="299">
        <v>0</v>
      </c>
      <c r="O40" s="299">
        <v>0</v>
      </c>
      <c r="P40" s="299">
        <v>0</v>
      </c>
      <c r="Q40" s="299">
        <v>0</v>
      </c>
      <c r="R40" s="299">
        <v>0</v>
      </c>
      <c r="S40" s="299">
        <v>0</v>
      </c>
      <c r="T40" s="299">
        <v>0</v>
      </c>
      <c r="U40" s="299">
        <v>0</v>
      </c>
      <c r="V40" s="299">
        <v>0</v>
      </c>
      <c r="W40" s="299">
        <v>0</v>
      </c>
      <c r="X40" s="299">
        <v>0</v>
      </c>
      <c r="Y40" s="299">
        <v>0</v>
      </c>
      <c r="Z40" s="299">
        <v>0</v>
      </c>
      <c r="AA40" s="299">
        <v>0</v>
      </c>
      <c r="AB40" s="303">
        <f t="shared" si="7"/>
        <v>0</v>
      </c>
      <c r="AC40" s="323">
        <f t="shared" si="9"/>
        <v>0</v>
      </c>
    </row>
    <row r="41" spans="1:29" x14ac:dyDescent="0.25">
      <c r="A41" s="78" t="s">
        <v>151</v>
      </c>
      <c r="B41" s="49" t="s">
        <v>137</v>
      </c>
      <c r="C41" s="298">
        <v>7.2</v>
      </c>
      <c r="D41" s="298">
        <v>0</v>
      </c>
      <c r="E41" s="301">
        <v>7.2</v>
      </c>
      <c r="F41" s="301">
        <v>0</v>
      </c>
      <c r="G41" s="299">
        <v>0</v>
      </c>
      <c r="H41" s="299">
        <v>0</v>
      </c>
      <c r="I41" s="299">
        <v>0</v>
      </c>
      <c r="J41" s="299">
        <v>0</v>
      </c>
      <c r="K41" s="299">
        <v>0</v>
      </c>
      <c r="L41" s="299">
        <v>7.2</v>
      </c>
      <c r="M41" s="299">
        <v>0</v>
      </c>
      <c r="N41" s="299">
        <v>7.43</v>
      </c>
      <c r="O41" s="299">
        <v>0</v>
      </c>
      <c r="P41" s="299">
        <v>0</v>
      </c>
      <c r="Q41" s="299">
        <v>0</v>
      </c>
      <c r="R41" s="299">
        <v>0</v>
      </c>
      <c r="S41" s="299">
        <v>0</v>
      </c>
      <c r="T41" s="299">
        <v>0</v>
      </c>
      <c r="U41" s="299">
        <v>0</v>
      </c>
      <c r="V41" s="299">
        <v>0</v>
      </c>
      <c r="W41" s="299">
        <v>0</v>
      </c>
      <c r="X41" s="299">
        <v>0</v>
      </c>
      <c r="Y41" s="299">
        <v>0</v>
      </c>
      <c r="Z41" s="299">
        <v>0</v>
      </c>
      <c r="AA41" s="299">
        <v>0</v>
      </c>
      <c r="AB41" s="303">
        <f t="shared" si="7"/>
        <v>7.2</v>
      </c>
      <c r="AC41" s="323">
        <f t="shared" si="9"/>
        <v>7.43</v>
      </c>
    </row>
    <row r="42" spans="1:29" ht="18.75" x14ac:dyDescent="0.25">
      <c r="A42" s="78" t="s">
        <v>150</v>
      </c>
      <c r="B42" s="327" t="s">
        <v>682</v>
      </c>
      <c r="C42" s="298">
        <v>12</v>
      </c>
      <c r="D42" s="298">
        <v>0</v>
      </c>
      <c r="E42" s="301">
        <v>12</v>
      </c>
      <c r="F42" s="301">
        <v>0</v>
      </c>
      <c r="G42" s="299">
        <v>0</v>
      </c>
      <c r="H42" s="299">
        <v>0</v>
      </c>
      <c r="I42" s="299">
        <v>0</v>
      </c>
      <c r="J42" s="299">
        <v>0</v>
      </c>
      <c r="K42" s="299">
        <v>0</v>
      </c>
      <c r="L42" s="299">
        <v>12</v>
      </c>
      <c r="M42" s="299">
        <v>0</v>
      </c>
      <c r="N42" s="299">
        <v>12</v>
      </c>
      <c r="O42" s="299">
        <v>0</v>
      </c>
      <c r="P42" s="299">
        <v>0</v>
      </c>
      <c r="Q42" s="299">
        <v>0</v>
      </c>
      <c r="R42" s="299">
        <v>0</v>
      </c>
      <c r="S42" s="299">
        <v>0</v>
      </c>
      <c r="T42" s="299">
        <v>0</v>
      </c>
      <c r="U42" s="299">
        <v>0</v>
      </c>
      <c r="V42" s="299">
        <v>0</v>
      </c>
      <c r="W42" s="299">
        <v>0</v>
      </c>
      <c r="X42" s="299">
        <v>0</v>
      </c>
      <c r="Y42" s="299">
        <v>0</v>
      </c>
      <c r="Z42" s="299">
        <v>0</v>
      </c>
      <c r="AA42" s="299">
        <v>0</v>
      </c>
      <c r="AB42" s="303">
        <f t="shared" si="7"/>
        <v>12</v>
      </c>
      <c r="AC42" s="323">
        <f t="shared" si="9"/>
        <v>12</v>
      </c>
    </row>
    <row r="43" spans="1:29" x14ac:dyDescent="0.25">
      <c r="A43" s="81" t="s">
        <v>59</v>
      </c>
      <c r="B43" s="80" t="s">
        <v>149</v>
      </c>
      <c r="C43" s="298">
        <v>0</v>
      </c>
      <c r="D43" s="298">
        <v>0</v>
      </c>
      <c r="E43" s="301">
        <v>0</v>
      </c>
      <c r="F43" s="301">
        <v>0</v>
      </c>
      <c r="G43" s="298">
        <v>0</v>
      </c>
      <c r="H43" s="298">
        <v>0</v>
      </c>
      <c r="I43" s="298">
        <v>0</v>
      </c>
      <c r="J43" s="298">
        <v>0</v>
      </c>
      <c r="K43" s="298">
        <v>0</v>
      </c>
      <c r="L43" s="302">
        <v>0</v>
      </c>
      <c r="M43" s="298">
        <v>0</v>
      </c>
      <c r="N43" s="298">
        <v>0</v>
      </c>
      <c r="O43" s="298">
        <v>0</v>
      </c>
      <c r="P43" s="298">
        <v>0</v>
      </c>
      <c r="Q43" s="298">
        <v>0</v>
      </c>
      <c r="R43" s="298">
        <v>0</v>
      </c>
      <c r="S43" s="298">
        <v>0</v>
      </c>
      <c r="T43" s="298">
        <v>0</v>
      </c>
      <c r="U43" s="298">
        <v>0</v>
      </c>
      <c r="V43" s="298">
        <v>0</v>
      </c>
      <c r="W43" s="298">
        <v>0</v>
      </c>
      <c r="X43" s="298">
        <v>0</v>
      </c>
      <c r="Y43" s="298">
        <v>0</v>
      </c>
      <c r="Z43" s="298">
        <v>0</v>
      </c>
      <c r="AA43" s="298">
        <v>0</v>
      </c>
      <c r="AB43" s="303">
        <f t="shared" si="7"/>
        <v>0</v>
      </c>
      <c r="AC43" s="323">
        <f t="shared" si="9"/>
        <v>0</v>
      </c>
    </row>
    <row r="44" spans="1:29" x14ac:dyDescent="0.25">
      <c r="A44" s="78" t="s">
        <v>148</v>
      </c>
      <c r="B44" s="49" t="s">
        <v>147</v>
      </c>
      <c r="C44" s="298">
        <v>0</v>
      </c>
      <c r="D44" s="298">
        <v>0</v>
      </c>
      <c r="E44" s="301">
        <v>0</v>
      </c>
      <c r="F44" s="301">
        <v>0</v>
      </c>
      <c r="G44" s="299">
        <v>0</v>
      </c>
      <c r="H44" s="299">
        <v>0</v>
      </c>
      <c r="I44" s="299">
        <v>0</v>
      </c>
      <c r="J44" s="299">
        <v>0</v>
      </c>
      <c r="K44" s="299">
        <v>0</v>
      </c>
      <c r="L44" s="299">
        <v>0</v>
      </c>
      <c r="M44" s="299">
        <v>0</v>
      </c>
      <c r="N44" s="299">
        <v>0</v>
      </c>
      <c r="O44" s="299">
        <v>0</v>
      </c>
      <c r="P44" s="299">
        <v>0</v>
      </c>
      <c r="Q44" s="299">
        <v>0</v>
      </c>
      <c r="R44" s="299">
        <v>0</v>
      </c>
      <c r="S44" s="299">
        <v>0</v>
      </c>
      <c r="T44" s="299">
        <v>0</v>
      </c>
      <c r="U44" s="299">
        <v>0</v>
      </c>
      <c r="V44" s="299">
        <v>0</v>
      </c>
      <c r="W44" s="299">
        <v>0</v>
      </c>
      <c r="X44" s="299">
        <v>0</v>
      </c>
      <c r="Y44" s="299">
        <v>0</v>
      </c>
      <c r="Z44" s="299">
        <v>0</v>
      </c>
      <c r="AA44" s="299">
        <v>0</v>
      </c>
      <c r="AB44" s="303">
        <f t="shared" si="7"/>
        <v>0</v>
      </c>
      <c r="AC44" s="323">
        <f t="shared" si="9"/>
        <v>0</v>
      </c>
    </row>
    <row r="45" spans="1:29" x14ac:dyDescent="0.25">
      <c r="A45" s="78" t="s">
        <v>146</v>
      </c>
      <c r="B45" s="49" t="s">
        <v>145</v>
      </c>
      <c r="C45" s="298">
        <v>3.06</v>
      </c>
      <c r="D45" s="298">
        <v>0</v>
      </c>
      <c r="E45" s="301">
        <v>3.06</v>
      </c>
      <c r="F45" s="301">
        <v>0</v>
      </c>
      <c r="G45" s="299">
        <v>0</v>
      </c>
      <c r="H45" s="299">
        <v>0</v>
      </c>
      <c r="I45" s="299">
        <v>0</v>
      </c>
      <c r="J45" s="299">
        <v>0</v>
      </c>
      <c r="K45" s="299">
        <v>0</v>
      </c>
      <c r="L45" s="300">
        <v>3.06</v>
      </c>
      <c r="M45" s="299">
        <v>0</v>
      </c>
      <c r="N45" s="299">
        <v>3.06</v>
      </c>
      <c r="O45" s="299">
        <v>0</v>
      </c>
      <c r="P45" s="299">
        <v>0</v>
      </c>
      <c r="Q45" s="299">
        <v>0</v>
      </c>
      <c r="R45" s="299">
        <v>0</v>
      </c>
      <c r="S45" s="299">
        <v>0</v>
      </c>
      <c r="T45" s="299">
        <v>0</v>
      </c>
      <c r="U45" s="299">
        <v>0</v>
      </c>
      <c r="V45" s="299">
        <v>0</v>
      </c>
      <c r="W45" s="299">
        <v>0</v>
      </c>
      <c r="X45" s="299">
        <v>0</v>
      </c>
      <c r="Y45" s="299">
        <v>0</v>
      </c>
      <c r="Z45" s="299">
        <v>0</v>
      </c>
      <c r="AA45" s="299">
        <v>0</v>
      </c>
      <c r="AB45" s="303">
        <f t="shared" si="7"/>
        <v>3.06</v>
      </c>
      <c r="AC45" s="323">
        <f t="shared" si="9"/>
        <v>3.06</v>
      </c>
    </row>
    <row r="46" spans="1:29" x14ac:dyDescent="0.25">
      <c r="A46" s="78" t="s">
        <v>144</v>
      </c>
      <c r="B46" s="49" t="s">
        <v>143</v>
      </c>
      <c r="C46" s="298">
        <v>0</v>
      </c>
      <c r="D46" s="298">
        <v>0</v>
      </c>
      <c r="E46" s="301">
        <v>0</v>
      </c>
      <c r="F46" s="301">
        <v>0</v>
      </c>
      <c r="G46" s="299">
        <v>0</v>
      </c>
      <c r="H46" s="299">
        <v>0</v>
      </c>
      <c r="I46" s="299">
        <v>0</v>
      </c>
      <c r="J46" s="299">
        <v>0</v>
      </c>
      <c r="K46" s="299">
        <v>0</v>
      </c>
      <c r="L46" s="299">
        <v>0</v>
      </c>
      <c r="M46" s="299">
        <v>0</v>
      </c>
      <c r="N46" s="299">
        <v>0</v>
      </c>
      <c r="O46" s="299">
        <v>0</v>
      </c>
      <c r="P46" s="299">
        <v>0</v>
      </c>
      <c r="Q46" s="299">
        <v>0</v>
      </c>
      <c r="R46" s="299">
        <v>0</v>
      </c>
      <c r="S46" s="299">
        <v>0</v>
      </c>
      <c r="T46" s="299">
        <v>0</v>
      </c>
      <c r="U46" s="299">
        <v>0</v>
      </c>
      <c r="V46" s="299">
        <v>0</v>
      </c>
      <c r="W46" s="299">
        <v>0</v>
      </c>
      <c r="X46" s="299">
        <v>0</v>
      </c>
      <c r="Y46" s="299">
        <v>0</v>
      </c>
      <c r="Z46" s="299">
        <v>0</v>
      </c>
      <c r="AA46" s="299">
        <v>0</v>
      </c>
      <c r="AB46" s="303">
        <f t="shared" si="7"/>
        <v>0</v>
      </c>
      <c r="AC46" s="323">
        <f t="shared" si="9"/>
        <v>0</v>
      </c>
    </row>
    <row r="47" spans="1:29" ht="31.5" x14ac:dyDescent="0.25">
      <c r="A47" s="78" t="s">
        <v>142</v>
      </c>
      <c r="B47" s="49" t="s">
        <v>141</v>
      </c>
      <c r="C47" s="298">
        <v>0</v>
      </c>
      <c r="D47" s="298">
        <v>0</v>
      </c>
      <c r="E47" s="301">
        <v>0</v>
      </c>
      <c r="F47" s="301">
        <v>0</v>
      </c>
      <c r="G47" s="299">
        <v>0</v>
      </c>
      <c r="H47" s="299">
        <v>0</v>
      </c>
      <c r="I47" s="299">
        <v>0</v>
      </c>
      <c r="J47" s="299">
        <v>0</v>
      </c>
      <c r="K47" s="299">
        <v>0</v>
      </c>
      <c r="L47" s="299">
        <v>0</v>
      </c>
      <c r="M47" s="299">
        <v>0</v>
      </c>
      <c r="N47" s="299">
        <v>0</v>
      </c>
      <c r="O47" s="299">
        <v>0</v>
      </c>
      <c r="P47" s="299">
        <v>0</v>
      </c>
      <c r="Q47" s="299">
        <v>0</v>
      </c>
      <c r="R47" s="299">
        <v>0</v>
      </c>
      <c r="S47" s="299">
        <v>0</v>
      </c>
      <c r="T47" s="299">
        <v>0</v>
      </c>
      <c r="U47" s="299">
        <v>0</v>
      </c>
      <c r="V47" s="299">
        <v>0</v>
      </c>
      <c r="W47" s="299">
        <v>0</v>
      </c>
      <c r="X47" s="299">
        <v>0</v>
      </c>
      <c r="Y47" s="299">
        <v>0</v>
      </c>
      <c r="Z47" s="299">
        <v>0</v>
      </c>
      <c r="AA47" s="299">
        <v>0</v>
      </c>
      <c r="AB47" s="303">
        <f t="shared" si="7"/>
        <v>0</v>
      </c>
      <c r="AC47" s="323">
        <f t="shared" si="9"/>
        <v>0</v>
      </c>
    </row>
    <row r="48" spans="1:29" ht="31.5" x14ac:dyDescent="0.25">
      <c r="A48" s="78" t="s">
        <v>140</v>
      </c>
      <c r="B48" s="49" t="s">
        <v>139</v>
      </c>
      <c r="C48" s="298">
        <v>0</v>
      </c>
      <c r="D48" s="298">
        <v>0</v>
      </c>
      <c r="E48" s="301">
        <v>0</v>
      </c>
      <c r="F48" s="301">
        <v>0</v>
      </c>
      <c r="G48" s="299">
        <v>0</v>
      </c>
      <c r="H48" s="299">
        <v>0</v>
      </c>
      <c r="I48" s="299">
        <v>0</v>
      </c>
      <c r="J48" s="299">
        <v>0</v>
      </c>
      <c r="K48" s="299">
        <v>0</v>
      </c>
      <c r="L48" s="299">
        <v>0</v>
      </c>
      <c r="M48" s="299">
        <v>0</v>
      </c>
      <c r="N48" s="299">
        <v>0</v>
      </c>
      <c r="O48" s="299">
        <v>0</v>
      </c>
      <c r="P48" s="299">
        <v>0</v>
      </c>
      <c r="Q48" s="299">
        <v>0</v>
      </c>
      <c r="R48" s="299">
        <v>0</v>
      </c>
      <c r="S48" s="299">
        <v>0</v>
      </c>
      <c r="T48" s="299">
        <v>0</v>
      </c>
      <c r="U48" s="299">
        <v>0</v>
      </c>
      <c r="V48" s="299">
        <v>0</v>
      </c>
      <c r="W48" s="299">
        <v>0</v>
      </c>
      <c r="X48" s="299">
        <v>0</v>
      </c>
      <c r="Y48" s="299">
        <v>0</v>
      </c>
      <c r="Z48" s="299">
        <v>0</v>
      </c>
      <c r="AA48" s="299">
        <v>0</v>
      </c>
      <c r="AB48" s="303">
        <f t="shared" si="7"/>
        <v>0</v>
      </c>
      <c r="AC48" s="323">
        <f t="shared" si="9"/>
        <v>0</v>
      </c>
    </row>
    <row r="49" spans="1:29" x14ac:dyDescent="0.25">
      <c r="A49" s="78" t="s">
        <v>138</v>
      </c>
      <c r="B49" s="49" t="s">
        <v>137</v>
      </c>
      <c r="C49" s="298">
        <v>7.2</v>
      </c>
      <c r="D49" s="298">
        <v>0</v>
      </c>
      <c r="E49" s="301">
        <v>7.2</v>
      </c>
      <c r="F49" s="301">
        <v>0</v>
      </c>
      <c r="G49" s="299">
        <v>0</v>
      </c>
      <c r="H49" s="299">
        <v>0</v>
      </c>
      <c r="I49" s="299">
        <v>0</v>
      </c>
      <c r="J49" s="299">
        <v>0</v>
      </c>
      <c r="K49" s="299">
        <v>0</v>
      </c>
      <c r="L49" s="299">
        <v>7.2</v>
      </c>
      <c r="M49" s="299">
        <v>0</v>
      </c>
      <c r="N49" s="299">
        <v>7.43</v>
      </c>
      <c r="O49" s="299">
        <v>0</v>
      </c>
      <c r="P49" s="299">
        <v>0</v>
      </c>
      <c r="Q49" s="299">
        <v>0</v>
      </c>
      <c r="R49" s="299">
        <v>0</v>
      </c>
      <c r="S49" s="299">
        <v>0</v>
      </c>
      <c r="T49" s="299">
        <v>0</v>
      </c>
      <c r="U49" s="299">
        <v>0</v>
      </c>
      <c r="V49" s="299">
        <v>0</v>
      </c>
      <c r="W49" s="299">
        <v>0</v>
      </c>
      <c r="X49" s="299">
        <v>0</v>
      </c>
      <c r="Y49" s="299">
        <v>0</v>
      </c>
      <c r="Z49" s="299">
        <v>0</v>
      </c>
      <c r="AA49" s="299">
        <v>0</v>
      </c>
      <c r="AB49" s="303">
        <f t="shared" si="7"/>
        <v>7.2</v>
      </c>
      <c r="AC49" s="323">
        <f t="shared" si="9"/>
        <v>7.43</v>
      </c>
    </row>
    <row r="50" spans="1:29" ht="18.75" x14ac:dyDescent="0.25">
      <c r="A50" s="78" t="s">
        <v>136</v>
      </c>
      <c r="B50" s="327" t="s">
        <v>682</v>
      </c>
      <c r="C50" s="298">
        <v>12</v>
      </c>
      <c r="D50" s="298">
        <v>0</v>
      </c>
      <c r="E50" s="301">
        <v>12</v>
      </c>
      <c r="F50" s="301">
        <v>0</v>
      </c>
      <c r="G50" s="299">
        <v>0</v>
      </c>
      <c r="H50" s="299">
        <v>0</v>
      </c>
      <c r="I50" s="299">
        <v>0</v>
      </c>
      <c r="J50" s="299">
        <v>0</v>
      </c>
      <c r="K50" s="299">
        <v>0</v>
      </c>
      <c r="L50" s="299">
        <v>12</v>
      </c>
      <c r="M50" s="299">
        <v>0</v>
      </c>
      <c r="N50" s="299">
        <v>12</v>
      </c>
      <c r="O50" s="299">
        <v>0</v>
      </c>
      <c r="P50" s="299">
        <v>0</v>
      </c>
      <c r="Q50" s="299">
        <v>0</v>
      </c>
      <c r="R50" s="299">
        <v>0</v>
      </c>
      <c r="S50" s="299">
        <v>0</v>
      </c>
      <c r="T50" s="299">
        <v>0</v>
      </c>
      <c r="U50" s="299">
        <v>0</v>
      </c>
      <c r="V50" s="299">
        <v>0</v>
      </c>
      <c r="W50" s="299">
        <v>0</v>
      </c>
      <c r="X50" s="299">
        <v>0</v>
      </c>
      <c r="Y50" s="299">
        <v>0</v>
      </c>
      <c r="Z50" s="299">
        <v>0</v>
      </c>
      <c r="AA50" s="299">
        <v>0</v>
      </c>
      <c r="AB50" s="303">
        <f t="shared" si="7"/>
        <v>12</v>
      </c>
      <c r="AC50" s="323">
        <f t="shared" si="9"/>
        <v>12</v>
      </c>
    </row>
    <row r="51" spans="1:29" ht="35.25" customHeight="1" x14ac:dyDescent="0.25">
      <c r="A51" s="81" t="s">
        <v>57</v>
      </c>
      <c r="B51" s="80" t="s">
        <v>135</v>
      </c>
      <c r="C51" s="298">
        <v>0</v>
      </c>
      <c r="D51" s="298">
        <v>0</v>
      </c>
      <c r="E51" s="301">
        <v>0</v>
      </c>
      <c r="F51" s="301">
        <v>0</v>
      </c>
      <c r="G51" s="298">
        <v>0</v>
      </c>
      <c r="H51" s="298">
        <v>0</v>
      </c>
      <c r="I51" s="298">
        <v>0</v>
      </c>
      <c r="J51" s="298">
        <v>0</v>
      </c>
      <c r="K51" s="298">
        <v>0</v>
      </c>
      <c r="L51" s="302">
        <v>0</v>
      </c>
      <c r="M51" s="298">
        <v>0</v>
      </c>
      <c r="N51" s="298">
        <v>0</v>
      </c>
      <c r="O51" s="298">
        <v>0</v>
      </c>
      <c r="P51" s="298">
        <v>0</v>
      </c>
      <c r="Q51" s="298">
        <v>0</v>
      </c>
      <c r="R51" s="298">
        <v>0</v>
      </c>
      <c r="S51" s="298">
        <v>0</v>
      </c>
      <c r="T51" s="298">
        <v>0</v>
      </c>
      <c r="U51" s="298">
        <v>0</v>
      </c>
      <c r="V51" s="298">
        <v>0</v>
      </c>
      <c r="W51" s="298">
        <v>0</v>
      </c>
      <c r="X51" s="298">
        <v>0</v>
      </c>
      <c r="Y51" s="298">
        <v>0</v>
      </c>
      <c r="Z51" s="298">
        <v>0</v>
      </c>
      <c r="AA51" s="298">
        <v>0</v>
      </c>
      <c r="AB51" s="303">
        <f t="shared" si="7"/>
        <v>0</v>
      </c>
      <c r="AC51" s="323">
        <f t="shared" si="9"/>
        <v>0</v>
      </c>
    </row>
    <row r="52" spans="1:29" x14ac:dyDescent="0.25">
      <c r="A52" s="78" t="s">
        <v>134</v>
      </c>
      <c r="B52" s="49" t="s">
        <v>133</v>
      </c>
      <c r="C52" s="298">
        <v>94.035250972374584</v>
      </c>
      <c r="D52" s="298">
        <v>0</v>
      </c>
      <c r="E52" s="301">
        <v>94.035250972374584</v>
      </c>
      <c r="F52" s="301">
        <v>0</v>
      </c>
      <c r="G52" s="299">
        <v>0</v>
      </c>
      <c r="H52" s="299">
        <v>0</v>
      </c>
      <c r="I52" s="299">
        <v>0</v>
      </c>
      <c r="J52" s="299">
        <v>0</v>
      </c>
      <c r="K52" s="299">
        <v>0</v>
      </c>
      <c r="L52" s="299">
        <v>94.035250972374584</v>
      </c>
      <c r="M52" s="299">
        <v>0</v>
      </c>
      <c r="N52" s="299">
        <v>99.177313789999985</v>
      </c>
      <c r="O52" s="299">
        <v>0</v>
      </c>
      <c r="P52" s="299">
        <v>0</v>
      </c>
      <c r="Q52" s="299">
        <v>0</v>
      </c>
      <c r="R52" s="299">
        <v>0</v>
      </c>
      <c r="S52" s="299">
        <v>0</v>
      </c>
      <c r="T52" s="299">
        <v>0</v>
      </c>
      <c r="U52" s="299">
        <v>0</v>
      </c>
      <c r="V52" s="299">
        <v>0</v>
      </c>
      <c r="W52" s="299">
        <v>0</v>
      </c>
      <c r="X52" s="299">
        <v>0</v>
      </c>
      <c r="Y52" s="299">
        <v>0</v>
      </c>
      <c r="Z52" s="299">
        <v>0</v>
      </c>
      <c r="AA52" s="299">
        <v>0</v>
      </c>
      <c r="AB52" s="303">
        <f t="shared" si="7"/>
        <v>94.035250972374584</v>
      </c>
      <c r="AC52" s="323">
        <f t="shared" si="9"/>
        <v>99.177313789999985</v>
      </c>
    </row>
    <row r="53" spans="1:29" x14ac:dyDescent="0.25">
      <c r="A53" s="78" t="s">
        <v>132</v>
      </c>
      <c r="B53" s="49" t="s">
        <v>126</v>
      </c>
      <c r="C53" s="298">
        <v>0</v>
      </c>
      <c r="D53" s="298">
        <v>0</v>
      </c>
      <c r="E53" s="301">
        <v>0</v>
      </c>
      <c r="F53" s="301">
        <v>0</v>
      </c>
      <c r="G53" s="299">
        <v>0</v>
      </c>
      <c r="H53" s="299">
        <v>0</v>
      </c>
      <c r="I53" s="299">
        <v>0</v>
      </c>
      <c r="J53" s="299">
        <v>0</v>
      </c>
      <c r="K53" s="299">
        <v>0</v>
      </c>
      <c r="L53" s="300">
        <v>0</v>
      </c>
      <c r="M53" s="299">
        <v>0</v>
      </c>
      <c r="N53" s="299">
        <v>0</v>
      </c>
      <c r="O53" s="299">
        <v>0</v>
      </c>
      <c r="P53" s="299">
        <v>0</v>
      </c>
      <c r="Q53" s="299">
        <v>0</v>
      </c>
      <c r="R53" s="299">
        <v>0</v>
      </c>
      <c r="S53" s="299">
        <v>0</v>
      </c>
      <c r="T53" s="299">
        <v>0</v>
      </c>
      <c r="U53" s="299">
        <v>0</v>
      </c>
      <c r="V53" s="299">
        <v>0</v>
      </c>
      <c r="W53" s="299">
        <v>0</v>
      </c>
      <c r="X53" s="299">
        <v>0</v>
      </c>
      <c r="Y53" s="299">
        <v>0</v>
      </c>
      <c r="Z53" s="299">
        <v>0</v>
      </c>
      <c r="AA53" s="299">
        <v>0</v>
      </c>
      <c r="AB53" s="303">
        <f t="shared" si="7"/>
        <v>0</v>
      </c>
      <c r="AC53" s="323">
        <f t="shared" si="9"/>
        <v>0</v>
      </c>
    </row>
    <row r="54" spans="1:29" x14ac:dyDescent="0.25">
      <c r="A54" s="78" t="s">
        <v>131</v>
      </c>
      <c r="B54" s="77" t="s">
        <v>125</v>
      </c>
      <c r="C54" s="298">
        <v>3.06</v>
      </c>
      <c r="D54" s="298">
        <f t="shared" ref="D54" si="10">D45</f>
        <v>0</v>
      </c>
      <c r="E54" s="298">
        <v>3.06</v>
      </c>
      <c r="F54" s="301">
        <v>0</v>
      </c>
      <c r="G54" s="299">
        <v>0</v>
      </c>
      <c r="H54" s="299">
        <v>0</v>
      </c>
      <c r="I54" s="299">
        <v>0</v>
      </c>
      <c r="J54" s="299">
        <v>0</v>
      </c>
      <c r="K54" s="299">
        <v>0</v>
      </c>
      <c r="L54" s="299">
        <v>3.06</v>
      </c>
      <c r="M54" s="299">
        <v>0</v>
      </c>
      <c r="N54" s="299">
        <v>3.06</v>
      </c>
      <c r="O54" s="299">
        <v>0</v>
      </c>
      <c r="P54" s="299">
        <v>0</v>
      </c>
      <c r="Q54" s="299">
        <v>0</v>
      </c>
      <c r="R54" s="299">
        <v>0</v>
      </c>
      <c r="S54" s="299">
        <v>0</v>
      </c>
      <c r="T54" s="299">
        <v>0</v>
      </c>
      <c r="U54" s="299">
        <v>0</v>
      </c>
      <c r="V54" s="299">
        <v>0</v>
      </c>
      <c r="W54" s="299">
        <v>0</v>
      </c>
      <c r="X54" s="299">
        <v>0</v>
      </c>
      <c r="Y54" s="299">
        <v>0</v>
      </c>
      <c r="Z54" s="299">
        <v>0</v>
      </c>
      <c r="AA54" s="299">
        <v>0</v>
      </c>
      <c r="AB54" s="303">
        <f t="shared" si="7"/>
        <v>3.06</v>
      </c>
      <c r="AC54" s="323">
        <f t="shared" si="9"/>
        <v>3.06</v>
      </c>
    </row>
    <row r="55" spans="1:29" x14ac:dyDescent="0.25">
      <c r="A55" s="78" t="s">
        <v>130</v>
      </c>
      <c r="B55" s="77" t="s">
        <v>124</v>
      </c>
      <c r="C55" s="298">
        <v>0</v>
      </c>
      <c r="D55" s="298">
        <v>0</v>
      </c>
      <c r="E55" s="301">
        <v>0</v>
      </c>
      <c r="F55" s="301">
        <v>0</v>
      </c>
      <c r="G55" s="299">
        <v>0</v>
      </c>
      <c r="H55" s="299">
        <v>0</v>
      </c>
      <c r="I55" s="299">
        <v>0</v>
      </c>
      <c r="J55" s="299">
        <v>0</v>
      </c>
      <c r="K55" s="299">
        <v>0</v>
      </c>
      <c r="L55" s="299">
        <v>0</v>
      </c>
      <c r="M55" s="299">
        <v>0</v>
      </c>
      <c r="N55" s="299">
        <v>0</v>
      </c>
      <c r="O55" s="299">
        <v>0</v>
      </c>
      <c r="P55" s="299">
        <v>0</v>
      </c>
      <c r="Q55" s="299">
        <v>0</v>
      </c>
      <c r="R55" s="299">
        <v>0</v>
      </c>
      <c r="S55" s="299">
        <v>0</v>
      </c>
      <c r="T55" s="299">
        <v>0</v>
      </c>
      <c r="U55" s="299">
        <v>0</v>
      </c>
      <c r="V55" s="299">
        <v>0</v>
      </c>
      <c r="W55" s="299">
        <v>0</v>
      </c>
      <c r="X55" s="299">
        <v>0</v>
      </c>
      <c r="Y55" s="299">
        <v>0</v>
      </c>
      <c r="Z55" s="299">
        <v>0</v>
      </c>
      <c r="AA55" s="299">
        <v>0</v>
      </c>
      <c r="AB55" s="303">
        <f t="shared" si="7"/>
        <v>0</v>
      </c>
      <c r="AC55" s="323">
        <f t="shared" si="9"/>
        <v>0</v>
      </c>
    </row>
    <row r="56" spans="1:29" x14ac:dyDescent="0.25">
      <c r="A56" s="78" t="s">
        <v>129</v>
      </c>
      <c r="B56" s="77" t="s">
        <v>123</v>
      </c>
      <c r="C56" s="298">
        <v>7.2</v>
      </c>
      <c r="D56" s="298">
        <f t="shared" ref="D56" si="11">D47+D48+D49</f>
        <v>0</v>
      </c>
      <c r="E56" s="298">
        <v>7.2</v>
      </c>
      <c r="F56" s="301">
        <v>0</v>
      </c>
      <c r="G56" s="299">
        <v>0</v>
      </c>
      <c r="H56" s="299">
        <v>0</v>
      </c>
      <c r="I56" s="299">
        <v>0</v>
      </c>
      <c r="J56" s="299">
        <v>0</v>
      </c>
      <c r="K56" s="299">
        <v>0</v>
      </c>
      <c r="L56" s="299">
        <v>7.2</v>
      </c>
      <c r="M56" s="299">
        <v>0</v>
      </c>
      <c r="N56" s="299">
        <v>7.43</v>
      </c>
      <c r="O56" s="299">
        <v>0</v>
      </c>
      <c r="P56" s="299">
        <v>0</v>
      </c>
      <c r="Q56" s="299">
        <v>0</v>
      </c>
      <c r="R56" s="299">
        <v>0</v>
      </c>
      <c r="S56" s="299">
        <v>0</v>
      </c>
      <c r="T56" s="299">
        <v>0</v>
      </c>
      <c r="U56" s="299">
        <v>0</v>
      </c>
      <c r="V56" s="299">
        <v>0</v>
      </c>
      <c r="W56" s="299">
        <v>0</v>
      </c>
      <c r="X56" s="299">
        <v>0</v>
      </c>
      <c r="Y56" s="299">
        <v>0</v>
      </c>
      <c r="Z56" s="299">
        <v>0</v>
      </c>
      <c r="AA56" s="299">
        <v>0</v>
      </c>
      <c r="AB56" s="303">
        <f t="shared" si="7"/>
        <v>7.2</v>
      </c>
      <c r="AC56" s="323">
        <f t="shared" si="9"/>
        <v>7.43</v>
      </c>
    </row>
    <row r="57" spans="1:29" ht="18.75" x14ac:dyDescent="0.25">
      <c r="A57" s="78" t="s">
        <v>128</v>
      </c>
      <c r="B57" s="327" t="s">
        <v>682</v>
      </c>
      <c r="C57" s="298">
        <v>12</v>
      </c>
      <c r="D57" s="298">
        <v>0</v>
      </c>
      <c r="E57" s="301">
        <v>12</v>
      </c>
      <c r="F57" s="301">
        <v>0</v>
      </c>
      <c r="G57" s="299">
        <v>0</v>
      </c>
      <c r="H57" s="299">
        <v>0</v>
      </c>
      <c r="I57" s="299">
        <v>0</v>
      </c>
      <c r="J57" s="299">
        <v>0</v>
      </c>
      <c r="K57" s="299">
        <v>0</v>
      </c>
      <c r="L57" s="299">
        <v>12</v>
      </c>
      <c r="M57" s="299">
        <v>0</v>
      </c>
      <c r="N57" s="299">
        <v>12</v>
      </c>
      <c r="O57" s="299">
        <v>0</v>
      </c>
      <c r="P57" s="299">
        <v>0</v>
      </c>
      <c r="Q57" s="299">
        <v>0</v>
      </c>
      <c r="R57" s="299">
        <v>0</v>
      </c>
      <c r="S57" s="299">
        <v>0</v>
      </c>
      <c r="T57" s="299">
        <v>0</v>
      </c>
      <c r="U57" s="299">
        <v>0</v>
      </c>
      <c r="V57" s="299">
        <v>0</v>
      </c>
      <c r="W57" s="299">
        <v>0</v>
      </c>
      <c r="X57" s="299">
        <v>0</v>
      </c>
      <c r="Y57" s="299">
        <v>0</v>
      </c>
      <c r="Z57" s="299">
        <v>0</v>
      </c>
      <c r="AA57" s="299">
        <v>0</v>
      </c>
      <c r="AB57" s="303">
        <f t="shared" si="7"/>
        <v>12</v>
      </c>
      <c r="AC57" s="323">
        <f t="shared" si="9"/>
        <v>12</v>
      </c>
    </row>
    <row r="58" spans="1:29" ht="36.75" customHeight="1" x14ac:dyDescent="0.25">
      <c r="A58" s="81" t="s">
        <v>56</v>
      </c>
      <c r="B58" s="101" t="s">
        <v>225</v>
      </c>
      <c r="C58" s="298">
        <v>0</v>
      </c>
      <c r="D58" s="298">
        <v>0</v>
      </c>
      <c r="E58" s="301">
        <v>0</v>
      </c>
      <c r="F58" s="301">
        <v>0</v>
      </c>
      <c r="G58" s="298">
        <v>0</v>
      </c>
      <c r="H58" s="298">
        <v>0</v>
      </c>
      <c r="I58" s="298">
        <v>0</v>
      </c>
      <c r="J58" s="298">
        <v>0</v>
      </c>
      <c r="K58" s="298">
        <v>0</v>
      </c>
      <c r="L58" s="302">
        <v>0</v>
      </c>
      <c r="M58" s="298">
        <v>0</v>
      </c>
      <c r="N58" s="298">
        <v>0</v>
      </c>
      <c r="O58" s="298">
        <v>0</v>
      </c>
      <c r="P58" s="298">
        <v>0</v>
      </c>
      <c r="Q58" s="298">
        <v>0</v>
      </c>
      <c r="R58" s="298">
        <v>0</v>
      </c>
      <c r="S58" s="298">
        <v>0</v>
      </c>
      <c r="T58" s="298">
        <v>0</v>
      </c>
      <c r="U58" s="298">
        <v>0</v>
      </c>
      <c r="V58" s="298">
        <v>0</v>
      </c>
      <c r="W58" s="298">
        <v>0</v>
      </c>
      <c r="X58" s="298">
        <v>0</v>
      </c>
      <c r="Y58" s="298">
        <v>0</v>
      </c>
      <c r="Z58" s="298">
        <v>0</v>
      </c>
      <c r="AA58" s="298">
        <v>0</v>
      </c>
      <c r="AB58" s="303">
        <f t="shared" si="7"/>
        <v>0</v>
      </c>
      <c r="AC58" s="323">
        <f t="shared" si="9"/>
        <v>0</v>
      </c>
    </row>
    <row r="59" spans="1:29" x14ac:dyDescent="0.25">
      <c r="A59" s="81" t="s">
        <v>54</v>
      </c>
      <c r="B59" s="80" t="s">
        <v>127</v>
      </c>
      <c r="C59" s="298">
        <v>0</v>
      </c>
      <c r="D59" s="298">
        <v>0</v>
      </c>
      <c r="E59" s="301">
        <v>0</v>
      </c>
      <c r="F59" s="301">
        <v>0</v>
      </c>
      <c r="G59" s="298">
        <v>0</v>
      </c>
      <c r="H59" s="298">
        <v>0</v>
      </c>
      <c r="I59" s="298">
        <v>0</v>
      </c>
      <c r="J59" s="298">
        <v>0</v>
      </c>
      <c r="K59" s="298">
        <v>0</v>
      </c>
      <c r="L59" s="302">
        <v>0</v>
      </c>
      <c r="M59" s="298">
        <v>0</v>
      </c>
      <c r="N59" s="298">
        <v>0</v>
      </c>
      <c r="O59" s="298">
        <v>0</v>
      </c>
      <c r="P59" s="298">
        <v>0</v>
      </c>
      <c r="Q59" s="298">
        <v>0</v>
      </c>
      <c r="R59" s="298">
        <v>0</v>
      </c>
      <c r="S59" s="298">
        <v>0</v>
      </c>
      <c r="T59" s="298">
        <v>0</v>
      </c>
      <c r="U59" s="298">
        <v>0</v>
      </c>
      <c r="V59" s="298">
        <v>0</v>
      </c>
      <c r="W59" s="298">
        <v>0</v>
      </c>
      <c r="X59" s="298">
        <v>0</v>
      </c>
      <c r="Y59" s="298">
        <v>0</v>
      </c>
      <c r="Z59" s="298">
        <v>0</v>
      </c>
      <c r="AA59" s="298">
        <v>0</v>
      </c>
      <c r="AB59" s="303">
        <f t="shared" si="7"/>
        <v>0</v>
      </c>
      <c r="AC59" s="323">
        <f t="shared" si="9"/>
        <v>0</v>
      </c>
    </row>
    <row r="60" spans="1:29" x14ac:dyDescent="0.25">
      <c r="A60" s="78" t="s">
        <v>219</v>
      </c>
      <c r="B60" s="79" t="s">
        <v>147</v>
      </c>
      <c r="C60" s="298">
        <v>0</v>
      </c>
      <c r="D60" s="298">
        <v>0</v>
      </c>
      <c r="E60" s="301">
        <v>0</v>
      </c>
      <c r="F60" s="301">
        <v>0</v>
      </c>
      <c r="G60" s="299">
        <v>0</v>
      </c>
      <c r="H60" s="299">
        <v>0</v>
      </c>
      <c r="I60" s="299">
        <v>0</v>
      </c>
      <c r="J60" s="299">
        <v>0</v>
      </c>
      <c r="K60" s="299">
        <v>0</v>
      </c>
      <c r="L60" s="299">
        <v>0</v>
      </c>
      <c r="M60" s="299">
        <v>0</v>
      </c>
      <c r="N60" s="299">
        <v>0</v>
      </c>
      <c r="O60" s="299">
        <v>0</v>
      </c>
      <c r="P60" s="299">
        <v>0</v>
      </c>
      <c r="Q60" s="299">
        <v>0</v>
      </c>
      <c r="R60" s="299">
        <v>0</v>
      </c>
      <c r="S60" s="299">
        <v>0</v>
      </c>
      <c r="T60" s="299">
        <v>0</v>
      </c>
      <c r="U60" s="299">
        <v>0</v>
      </c>
      <c r="V60" s="299">
        <v>0</v>
      </c>
      <c r="W60" s="299">
        <v>0</v>
      </c>
      <c r="X60" s="299">
        <v>0</v>
      </c>
      <c r="Y60" s="299">
        <v>0</v>
      </c>
      <c r="Z60" s="299">
        <v>0</v>
      </c>
      <c r="AA60" s="299">
        <v>0</v>
      </c>
      <c r="AB60" s="303">
        <f t="shared" si="7"/>
        <v>0</v>
      </c>
      <c r="AC60" s="323">
        <f t="shared" si="9"/>
        <v>0</v>
      </c>
    </row>
    <row r="61" spans="1:29" x14ac:dyDescent="0.25">
      <c r="A61" s="78" t="s">
        <v>220</v>
      </c>
      <c r="B61" s="79" t="s">
        <v>145</v>
      </c>
      <c r="C61" s="298">
        <v>0</v>
      </c>
      <c r="D61" s="298">
        <v>0</v>
      </c>
      <c r="E61" s="301">
        <v>0</v>
      </c>
      <c r="F61" s="301">
        <v>0</v>
      </c>
      <c r="G61" s="299">
        <v>0</v>
      </c>
      <c r="H61" s="299">
        <v>0</v>
      </c>
      <c r="I61" s="299">
        <v>0</v>
      </c>
      <c r="J61" s="299">
        <v>0</v>
      </c>
      <c r="K61" s="299">
        <v>0</v>
      </c>
      <c r="L61" s="299">
        <v>0</v>
      </c>
      <c r="M61" s="299">
        <v>0</v>
      </c>
      <c r="N61" s="299">
        <v>0</v>
      </c>
      <c r="O61" s="299">
        <v>0</v>
      </c>
      <c r="P61" s="299">
        <v>0</v>
      </c>
      <c r="Q61" s="299">
        <v>0</v>
      </c>
      <c r="R61" s="299">
        <v>0</v>
      </c>
      <c r="S61" s="299">
        <v>0</v>
      </c>
      <c r="T61" s="299">
        <v>0</v>
      </c>
      <c r="U61" s="299">
        <v>0</v>
      </c>
      <c r="V61" s="299">
        <v>0</v>
      </c>
      <c r="W61" s="299">
        <v>0</v>
      </c>
      <c r="X61" s="299">
        <v>0</v>
      </c>
      <c r="Y61" s="299">
        <v>0</v>
      </c>
      <c r="Z61" s="299">
        <v>0</v>
      </c>
      <c r="AA61" s="299">
        <v>0</v>
      </c>
      <c r="AB61" s="303">
        <f t="shared" si="7"/>
        <v>0</v>
      </c>
      <c r="AC61" s="323">
        <f t="shared" si="9"/>
        <v>0</v>
      </c>
    </row>
    <row r="62" spans="1:29" x14ac:dyDescent="0.25">
      <c r="A62" s="78" t="s">
        <v>221</v>
      </c>
      <c r="B62" s="79" t="s">
        <v>143</v>
      </c>
      <c r="C62" s="298">
        <v>0</v>
      </c>
      <c r="D62" s="298">
        <v>0</v>
      </c>
      <c r="E62" s="301">
        <v>0</v>
      </c>
      <c r="F62" s="301">
        <v>0</v>
      </c>
      <c r="G62" s="299">
        <v>0</v>
      </c>
      <c r="H62" s="299">
        <v>0</v>
      </c>
      <c r="I62" s="299">
        <v>0</v>
      </c>
      <c r="J62" s="299">
        <v>0</v>
      </c>
      <c r="K62" s="299">
        <v>0</v>
      </c>
      <c r="L62" s="299">
        <v>0</v>
      </c>
      <c r="M62" s="299">
        <v>0</v>
      </c>
      <c r="N62" s="299">
        <v>0</v>
      </c>
      <c r="O62" s="299">
        <v>0</v>
      </c>
      <c r="P62" s="299">
        <v>0</v>
      </c>
      <c r="Q62" s="299">
        <v>0</v>
      </c>
      <c r="R62" s="299">
        <v>0</v>
      </c>
      <c r="S62" s="299">
        <v>0</v>
      </c>
      <c r="T62" s="299">
        <v>0</v>
      </c>
      <c r="U62" s="299">
        <v>0</v>
      </c>
      <c r="V62" s="299">
        <v>0</v>
      </c>
      <c r="W62" s="299">
        <v>0</v>
      </c>
      <c r="X62" s="299">
        <v>0</v>
      </c>
      <c r="Y62" s="299">
        <v>0</v>
      </c>
      <c r="Z62" s="299">
        <v>0</v>
      </c>
      <c r="AA62" s="299">
        <v>0</v>
      </c>
      <c r="AB62" s="303">
        <f t="shared" si="7"/>
        <v>0</v>
      </c>
      <c r="AC62" s="323">
        <f t="shared" si="9"/>
        <v>0</v>
      </c>
    </row>
    <row r="63" spans="1:29" x14ac:dyDescent="0.25">
      <c r="A63" s="78" t="s">
        <v>222</v>
      </c>
      <c r="B63" s="79" t="s">
        <v>224</v>
      </c>
      <c r="C63" s="298">
        <v>0</v>
      </c>
      <c r="D63" s="298">
        <v>0</v>
      </c>
      <c r="E63" s="301">
        <v>0</v>
      </c>
      <c r="F63" s="301">
        <v>0</v>
      </c>
      <c r="G63" s="299">
        <v>0</v>
      </c>
      <c r="H63" s="299">
        <v>0</v>
      </c>
      <c r="I63" s="299">
        <v>0</v>
      </c>
      <c r="J63" s="299">
        <v>0</v>
      </c>
      <c r="K63" s="299">
        <v>0</v>
      </c>
      <c r="L63" s="299">
        <v>0</v>
      </c>
      <c r="M63" s="299">
        <v>0</v>
      </c>
      <c r="N63" s="299">
        <v>0</v>
      </c>
      <c r="O63" s="299">
        <v>0</v>
      </c>
      <c r="P63" s="299">
        <v>0</v>
      </c>
      <c r="Q63" s="299">
        <v>0</v>
      </c>
      <c r="R63" s="299">
        <v>0</v>
      </c>
      <c r="S63" s="299">
        <v>0</v>
      </c>
      <c r="T63" s="299">
        <v>0</v>
      </c>
      <c r="U63" s="299">
        <v>0</v>
      </c>
      <c r="V63" s="299">
        <v>0</v>
      </c>
      <c r="W63" s="299">
        <v>0</v>
      </c>
      <c r="X63" s="299">
        <v>0</v>
      </c>
      <c r="Y63" s="299">
        <v>0</v>
      </c>
      <c r="Z63" s="299">
        <v>0</v>
      </c>
      <c r="AA63" s="299">
        <v>0</v>
      </c>
      <c r="AB63" s="303">
        <f t="shared" si="7"/>
        <v>0</v>
      </c>
      <c r="AC63" s="323">
        <f t="shared" si="9"/>
        <v>0</v>
      </c>
    </row>
    <row r="64" spans="1:29" ht="18.75" x14ac:dyDescent="0.25">
      <c r="A64" s="78" t="s">
        <v>223</v>
      </c>
      <c r="B64" s="77" t="s">
        <v>122</v>
      </c>
      <c r="C64" s="298">
        <v>0</v>
      </c>
      <c r="D64" s="298">
        <v>0</v>
      </c>
      <c r="E64" s="301">
        <v>0</v>
      </c>
      <c r="F64" s="301">
        <v>0</v>
      </c>
      <c r="G64" s="299">
        <v>0</v>
      </c>
      <c r="H64" s="299">
        <v>0</v>
      </c>
      <c r="I64" s="299">
        <v>0</v>
      </c>
      <c r="J64" s="299">
        <v>0</v>
      </c>
      <c r="K64" s="299">
        <v>0</v>
      </c>
      <c r="L64" s="299">
        <v>0</v>
      </c>
      <c r="M64" s="299">
        <v>0</v>
      </c>
      <c r="N64" s="299">
        <v>0</v>
      </c>
      <c r="O64" s="299">
        <v>0</v>
      </c>
      <c r="P64" s="299">
        <v>0</v>
      </c>
      <c r="Q64" s="299">
        <v>0</v>
      </c>
      <c r="R64" s="299">
        <v>0</v>
      </c>
      <c r="S64" s="299">
        <v>0</v>
      </c>
      <c r="T64" s="299">
        <v>0</v>
      </c>
      <c r="U64" s="299">
        <v>0</v>
      </c>
      <c r="V64" s="299">
        <v>0</v>
      </c>
      <c r="W64" s="299">
        <v>0</v>
      </c>
      <c r="X64" s="299">
        <v>0</v>
      </c>
      <c r="Y64" s="299">
        <v>0</v>
      </c>
      <c r="Z64" s="299">
        <v>0</v>
      </c>
      <c r="AA64" s="299">
        <v>0</v>
      </c>
      <c r="AB64" s="303">
        <f t="shared" si="7"/>
        <v>0</v>
      </c>
      <c r="AC64" s="323">
        <f t="shared" si="9"/>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90"/>
      <c r="C66" s="490"/>
      <c r="D66" s="490"/>
      <c r="E66" s="490"/>
      <c r="F66" s="490"/>
      <c r="G66" s="490"/>
      <c r="H66" s="490"/>
      <c r="I66" s="49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91"/>
      <c r="C68" s="491"/>
      <c r="D68" s="491"/>
      <c r="E68" s="491"/>
      <c r="F68" s="491"/>
      <c r="G68" s="491"/>
      <c r="H68" s="491"/>
      <c r="I68" s="49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90"/>
      <c r="C70" s="490"/>
      <c r="D70" s="490"/>
      <c r="E70" s="490"/>
      <c r="F70" s="490"/>
      <c r="G70" s="490"/>
      <c r="H70" s="490"/>
      <c r="I70" s="49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90"/>
      <c r="C72" s="490"/>
      <c r="D72" s="490"/>
      <c r="E72" s="490"/>
      <c r="F72" s="490"/>
      <c r="G72" s="490"/>
      <c r="H72" s="490"/>
      <c r="I72" s="49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91"/>
      <c r="C73" s="491"/>
      <c r="D73" s="491"/>
      <c r="E73" s="491"/>
      <c r="F73" s="491"/>
      <c r="G73" s="491"/>
      <c r="H73" s="491"/>
      <c r="I73" s="49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90"/>
      <c r="C74" s="490"/>
      <c r="D74" s="490"/>
      <c r="E74" s="490"/>
      <c r="F74" s="490"/>
      <c r="G74" s="490"/>
      <c r="H74" s="490"/>
      <c r="I74" s="49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88"/>
      <c r="C75" s="488"/>
      <c r="D75" s="488"/>
      <c r="E75" s="488"/>
      <c r="F75" s="488"/>
      <c r="G75" s="488"/>
      <c r="H75" s="488"/>
      <c r="I75" s="48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89"/>
      <c r="C77" s="489"/>
      <c r="D77" s="489"/>
      <c r="E77" s="489"/>
      <c r="F77" s="489"/>
      <c r="G77" s="489"/>
      <c r="H77" s="489"/>
      <c r="I77" s="48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O24:Y27 E55 D54:E54 E57:E64 D56:E56 P30:Y34 O29:Y29 P28:Y28 E24:M24 E25:E53 G25:M34 G35:Y64 F25:F64">
    <cfRule type="cellIs" dxfId="46" priority="9" operator="notEqual">
      <formula>0</formula>
    </cfRule>
  </conditionalFormatting>
  <conditionalFormatting sqref="AB24:AC64">
    <cfRule type="cellIs" dxfId="45" priority="8" operator="notEqual">
      <formula>0</formula>
    </cfRule>
  </conditionalFormatting>
  <conditionalFormatting sqref="D24:D53 D55 D57:D64">
    <cfRule type="cellIs" dxfId="44" priority="5" operator="notEqual">
      <formula>0</formula>
    </cfRule>
  </conditionalFormatting>
  <conditionalFormatting sqref="Z24:AA64">
    <cfRule type="cellIs" dxfId="43" priority="4" operator="notEqual">
      <formula>0</formula>
    </cfRule>
  </conditionalFormatting>
  <conditionalFormatting sqref="N24:N34">
    <cfRule type="cellIs" dxfId="42" priority="3" operator="notEqual">
      <formula>0</formula>
    </cfRule>
  </conditionalFormatting>
  <conditionalFormatting sqref="O30:O34">
    <cfRule type="cellIs" dxfId="41" priority="2" operator="notEqual">
      <formula>0</formula>
    </cfRule>
  </conditionalFormatting>
  <conditionalFormatting sqref="O28">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W25" sqref="W25"/>
    </sheetView>
  </sheetViews>
  <sheetFormatPr defaultColWidth="9.140625" defaultRowHeight="15.75" x14ac:dyDescent="0.25"/>
  <cols>
    <col min="1" max="1" width="9.140625" style="64"/>
    <col min="2" max="2" width="57.85546875" style="64" customWidth="1"/>
    <col min="3" max="3" width="13" style="64" customWidth="1"/>
    <col min="4" max="4" width="17.85546875" style="64" hidden="1" customWidth="1"/>
    <col min="5" max="5" width="17.85546875" style="64" customWidth="1"/>
    <col min="6" max="7" width="19" style="64" customWidth="1"/>
    <col min="8" max="8" width="12" style="65" customWidth="1"/>
    <col min="9" max="14" width="8.140625" style="65" customWidth="1"/>
    <col min="15" max="15" width="10.140625" style="65" customWidth="1"/>
    <col min="16" max="20" width="8.140625" style="65" customWidth="1"/>
    <col min="21" max="28" width="8.140625" style="64" customWidth="1"/>
    <col min="29" max="30" width="8" style="64" hidden="1" customWidth="1"/>
    <col min="31" max="32" width="8.5703125" style="64" hidden="1" customWidth="1"/>
    <col min="33" max="34" width="8" style="64" hidden="1" customWidth="1"/>
    <col min="35" max="36" width="8.5703125" style="64" hidden="1" customWidth="1"/>
    <col min="37" max="38" width="8" style="64" hidden="1" customWidth="1"/>
    <col min="39" max="40" width="8.5703125" style="64" hidden="1" customWidth="1"/>
    <col min="41" max="41" width="13.140625" style="64" customWidth="1"/>
    <col min="42" max="42" width="24.85546875" style="64" customWidth="1"/>
    <col min="43" max="43" width="9.140625" style="64"/>
    <col min="44" max="44" width="11" style="64" bestFit="1" customWidth="1"/>
    <col min="45" max="16384" width="9.140625" style="64"/>
  </cols>
  <sheetData>
    <row r="1" spans="1:42" ht="18.75" x14ac:dyDescent="0.25">
      <c r="A1" s="65"/>
      <c r="B1" s="65"/>
      <c r="C1" s="65"/>
      <c r="D1" s="65"/>
      <c r="E1" s="65"/>
      <c r="F1" s="65"/>
      <c r="G1" s="65"/>
      <c r="AP1" s="42" t="s">
        <v>66</v>
      </c>
    </row>
    <row r="2" spans="1:42" ht="18.75" x14ac:dyDescent="0.3">
      <c r="A2" s="65"/>
      <c r="B2" s="65"/>
      <c r="C2" s="65"/>
      <c r="D2" s="65"/>
      <c r="E2" s="65"/>
      <c r="F2" s="65"/>
      <c r="G2" s="65"/>
      <c r="AP2" s="14" t="s">
        <v>8</v>
      </c>
    </row>
    <row r="3" spans="1:42" ht="18.75" x14ac:dyDescent="0.3">
      <c r="A3" s="65"/>
      <c r="B3" s="65"/>
      <c r="C3" s="65"/>
      <c r="D3" s="65"/>
      <c r="E3" s="65"/>
      <c r="F3" s="65"/>
      <c r="G3" s="65"/>
      <c r="AP3" s="14" t="s">
        <v>65</v>
      </c>
    </row>
    <row r="4" spans="1:42" ht="18.75" customHeight="1" x14ac:dyDescent="0.25">
      <c r="A4" s="395" t="str">
        <f>'6.1. Паспорт сетевой график'!A5:K5</f>
        <v>Год раскрытия информации: 2020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c r="AD4" s="395"/>
      <c r="AE4" s="395"/>
      <c r="AF4" s="395"/>
      <c r="AG4" s="395"/>
      <c r="AH4" s="395"/>
      <c r="AI4" s="395"/>
      <c r="AJ4" s="395"/>
      <c r="AK4" s="395"/>
      <c r="AL4" s="395"/>
      <c r="AM4" s="395"/>
      <c r="AN4" s="395"/>
      <c r="AO4" s="395"/>
      <c r="AP4" s="395"/>
    </row>
    <row r="5" spans="1:42" ht="18.75" x14ac:dyDescent="0.3">
      <c r="A5" s="65"/>
      <c r="B5" s="65"/>
      <c r="C5" s="65"/>
      <c r="D5" s="65"/>
      <c r="E5" s="65"/>
      <c r="F5" s="65"/>
      <c r="G5" s="65"/>
      <c r="AP5" s="14"/>
    </row>
    <row r="6" spans="1:42" ht="18.75" x14ac:dyDescent="0.25">
      <c r="A6" s="493" t="s">
        <v>7</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c r="AD6" s="493"/>
      <c r="AE6" s="493"/>
      <c r="AF6" s="493"/>
      <c r="AG6" s="493"/>
      <c r="AH6" s="493"/>
      <c r="AI6" s="493"/>
      <c r="AJ6" s="493"/>
      <c r="AK6" s="493"/>
      <c r="AL6" s="493"/>
      <c r="AM6" s="493"/>
      <c r="AN6" s="493"/>
      <c r="AO6" s="493"/>
      <c r="AP6" s="493"/>
    </row>
    <row r="7" spans="1:42" ht="18.75" x14ac:dyDescent="0.25">
      <c r="A7" s="339"/>
      <c r="B7" s="339"/>
      <c r="C7" s="339"/>
      <c r="D7" s="339"/>
      <c r="E7" s="339"/>
      <c r="F7" s="339"/>
      <c r="G7" s="339"/>
      <c r="H7" s="339"/>
      <c r="I7" s="339"/>
      <c r="J7" s="339"/>
      <c r="K7" s="339"/>
      <c r="L7" s="339"/>
      <c r="M7" s="339"/>
      <c r="N7" s="339"/>
      <c r="O7" s="339"/>
      <c r="P7" s="339"/>
      <c r="Q7" s="339"/>
      <c r="R7" s="339"/>
      <c r="S7" s="339"/>
      <c r="T7" s="339"/>
      <c r="U7" s="340"/>
      <c r="V7" s="340"/>
      <c r="W7" s="340"/>
      <c r="X7" s="340"/>
      <c r="Y7" s="340"/>
      <c r="Z7" s="340"/>
      <c r="AA7" s="340"/>
      <c r="AB7" s="340"/>
      <c r="AC7" s="340"/>
      <c r="AD7" s="340"/>
      <c r="AE7" s="340"/>
      <c r="AF7" s="340"/>
      <c r="AG7" s="340"/>
      <c r="AH7" s="340"/>
      <c r="AI7" s="340"/>
      <c r="AJ7" s="340"/>
      <c r="AK7" s="340"/>
      <c r="AL7" s="340"/>
      <c r="AM7" s="340"/>
      <c r="AN7" s="340"/>
      <c r="AO7" s="340"/>
      <c r="AP7" s="340"/>
    </row>
    <row r="8" spans="1:42" x14ac:dyDescent="0.25">
      <c r="A8" s="494" t="str">
        <f>'6.1. Паспорт сетевой график'!A9</f>
        <v>Акционерное общество "Янтарьэнерго"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row>
    <row r="9" spans="1:42" ht="18.75" customHeight="1" x14ac:dyDescent="0.25">
      <c r="A9" s="492" t="s">
        <v>6</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492"/>
      <c r="AO9" s="492"/>
      <c r="AP9" s="492"/>
    </row>
    <row r="10" spans="1:42" ht="18.75" x14ac:dyDescent="0.25">
      <c r="A10" s="339"/>
      <c r="B10" s="339"/>
      <c r="C10" s="339"/>
      <c r="D10" s="339"/>
      <c r="E10" s="339"/>
      <c r="F10" s="339"/>
      <c r="G10" s="339"/>
      <c r="H10" s="339"/>
      <c r="I10" s="339"/>
      <c r="J10" s="339"/>
      <c r="K10" s="339"/>
      <c r="L10" s="339"/>
      <c r="M10" s="339"/>
      <c r="N10" s="339"/>
      <c r="O10" s="339"/>
      <c r="P10" s="339"/>
      <c r="Q10" s="339"/>
      <c r="R10" s="339"/>
      <c r="S10" s="339"/>
      <c r="T10" s="339"/>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row>
    <row r="11" spans="1:42" x14ac:dyDescent="0.25">
      <c r="A11" s="494" t="str">
        <f>'6.1. Паспорт сетевой график'!A12</f>
        <v>Н_16-0190</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c r="AH11" s="494"/>
      <c r="AI11" s="494"/>
      <c r="AJ11" s="494"/>
      <c r="AK11" s="494"/>
      <c r="AL11" s="494"/>
      <c r="AM11" s="494"/>
      <c r="AN11" s="494"/>
      <c r="AO11" s="494"/>
      <c r="AP11" s="494"/>
    </row>
    <row r="12" spans="1:42" x14ac:dyDescent="0.25">
      <c r="A12" s="492" t="s">
        <v>5</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c r="AO12" s="492"/>
      <c r="AP12" s="492"/>
    </row>
    <row r="13" spans="1:42" ht="16.5" customHeight="1" x14ac:dyDescent="0.3">
      <c r="A13" s="341"/>
      <c r="B13" s="341"/>
      <c r="C13" s="341"/>
      <c r="D13" s="341"/>
      <c r="E13" s="341"/>
      <c r="F13" s="341"/>
      <c r="G13" s="341"/>
      <c r="H13" s="341"/>
      <c r="I13" s="341"/>
      <c r="J13" s="341"/>
      <c r="K13" s="341"/>
      <c r="L13" s="341"/>
      <c r="M13" s="341"/>
      <c r="N13" s="341"/>
      <c r="O13" s="341"/>
      <c r="P13" s="341"/>
      <c r="Q13" s="341"/>
      <c r="R13" s="341"/>
      <c r="S13" s="341"/>
      <c r="T13" s="341"/>
      <c r="U13" s="87"/>
      <c r="V13" s="87"/>
      <c r="W13" s="87"/>
      <c r="X13" s="87"/>
      <c r="Y13" s="87"/>
      <c r="Z13" s="87"/>
      <c r="AA13" s="87"/>
      <c r="AB13" s="87"/>
      <c r="AC13" s="87"/>
      <c r="AD13" s="87"/>
      <c r="AE13" s="87"/>
      <c r="AF13" s="87"/>
      <c r="AG13" s="87"/>
      <c r="AH13" s="87"/>
      <c r="AI13" s="87"/>
      <c r="AJ13" s="87"/>
      <c r="AK13" s="87"/>
      <c r="AL13" s="87"/>
      <c r="AM13" s="87"/>
      <c r="AN13" s="87"/>
      <c r="AO13" s="87"/>
      <c r="AP13" s="87"/>
    </row>
    <row r="14" spans="1:42" ht="36" customHeight="1" x14ac:dyDescent="0.25">
      <c r="A14" s="495" t="str">
        <f>'6.1. Паспорт сетевой график'!A15</f>
        <v>Строительство РТП 10/0,4 кВ и 3-х КТП 10/0,4 кВ (новых), КЛ-10 кВ от ПС О-35 "Космодемьянская" и от РТП (новой) в Центральном районе г. Калининграда</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5"/>
      <c r="AE14" s="495"/>
      <c r="AF14" s="495"/>
      <c r="AG14" s="495"/>
      <c r="AH14" s="495"/>
      <c r="AI14" s="495"/>
      <c r="AJ14" s="495"/>
      <c r="AK14" s="495"/>
      <c r="AL14" s="495"/>
      <c r="AM14" s="495"/>
      <c r="AN14" s="495"/>
      <c r="AO14" s="495"/>
      <c r="AP14" s="495"/>
    </row>
    <row r="15" spans="1:42" ht="15.75" customHeight="1" x14ac:dyDescent="0.25">
      <c r="A15" s="492" t="s">
        <v>4</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2"/>
      <c r="AP15" s="492"/>
    </row>
    <row r="16" spans="1:42"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row>
    <row r="17" spans="1:45" x14ac:dyDescent="0.25">
      <c r="A17" s="65"/>
      <c r="U17" s="65"/>
      <c r="V17" s="65"/>
      <c r="W17" s="65"/>
      <c r="X17" s="65"/>
      <c r="Y17" s="65"/>
      <c r="Z17" s="65"/>
      <c r="AA17" s="65"/>
      <c r="AB17" s="65"/>
      <c r="AC17" s="65"/>
      <c r="AD17" s="65"/>
      <c r="AE17" s="65"/>
      <c r="AF17" s="65"/>
      <c r="AG17" s="65"/>
      <c r="AH17" s="65"/>
      <c r="AI17" s="65"/>
      <c r="AJ17" s="65"/>
      <c r="AK17" s="65"/>
      <c r="AL17" s="65"/>
      <c r="AM17" s="65"/>
      <c r="AN17" s="65"/>
      <c r="AO17" s="65"/>
    </row>
    <row r="18" spans="1:45" x14ac:dyDescent="0.25">
      <c r="A18" s="483" t="s">
        <v>490</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c r="AH18" s="483"/>
      <c r="AI18" s="483"/>
      <c r="AJ18" s="483"/>
      <c r="AK18" s="483"/>
      <c r="AL18" s="483"/>
      <c r="AM18" s="483"/>
      <c r="AN18" s="483"/>
      <c r="AO18" s="483"/>
      <c r="AP18" s="483"/>
    </row>
    <row r="19" spans="1:45" x14ac:dyDescent="0.25">
      <c r="A19" s="65"/>
      <c r="B19" s="65"/>
      <c r="C19" s="65"/>
      <c r="D19" s="65"/>
      <c r="E19" s="65"/>
      <c r="F19" s="65"/>
      <c r="G19" s="65"/>
      <c r="U19" s="65"/>
      <c r="V19" s="65"/>
      <c r="W19" s="65"/>
      <c r="X19" s="65"/>
      <c r="Y19" s="65"/>
      <c r="Z19" s="65"/>
      <c r="AA19" s="65"/>
      <c r="AB19" s="65"/>
      <c r="AC19" s="65"/>
      <c r="AD19" s="65"/>
      <c r="AE19" s="65"/>
      <c r="AF19" s="65"/>
      <c r="AG19" s="65"/>
      <c r="AH19" s="65"/>
      <c r="AI19" s="65"/>
      <c r="AJ19" s="65"/>
      <c r="AK19" s="65"/>
      <c r="AL19" s="65"/>
      <c r="AM19" s="65"/>
      <c r="AN19" s="65"/>
      <c r="AO19" s="65"/>
    </row>
    <row r="20" spans="1:45" ht="33" customHeight="1" x14ac:dyDescent="0.25">
      <c r="A20" s="479" t="s">
        <v>183</v>
      </c>
      <c r="B20" s="479" t="s">
        <v>182</v>
      </c>
      <c r="C20" s="535" t="s">
        <v>181</v>
      </c>
      <c r="D20" s="536"/>
      <c r="E20" s="537"/>
      <c r="F20" s="497" t="s">
        <v>180</v>
      </c>
      <c r="G20" s="497"/>
      <c r="H20" s="479" t="s">
        <v>741</v>
      </c>
      <c r="I20" s="472" t="s">
        <v>640</v>
      </c>
      <c r="J20" s="473"/>
      <c r="K20" s="473"/>
      <c r="L20" s="473"/>
      <c r="M20" s="472" t="s">
        <v>641</v>
      </c>
      <c r="N20" s="473"/>
      <c r="O20" s="473"/>
      <c r="P20" s="473"/>
      <c r="Q20" s="472" t="s">
        <v>642</v>
      </c>
      <c r="R20" s="473"/>
      <c r="S20" s="473"/>
      <c r="T20" s="473"/>
      <c r="U20" s="498">
        <v>2019</v>
      </c>
      <c r="V20" s="499"/>
      <c r="W20" s="499"/>
      <c r="X20" s="499"/>
      <c r="Y20" s="498">
        <v>2020</v>
      </c>
      <c r="Z20" s="499"/>
      <c r="AA20" s="499"/>
      <c r="AB20" s="499"/>
      <c r="AC20" s="498">
        <v>2021</v>
      </c>
      <c r="AD20" s="499"/>
      <c r="AE20" s="499"/>
      <c r="AF20" s="499"/>
      <c r="AG20" s="498">
        <v>2022</v>
      </c>
      <c r="AH20" s="499"/>
      <c r="AI20" s="499"/>
      <c r="AJ20" s="499"/>
      <c r="AK20" s="498">
        <v>2023</v>
      </c>
      <c r="AL20" s="499"/>
      <c r="AM20" s="499"/>
      <c r="AN20" s="499"/>
      <c r="AO20" s="500" t="s">
        <v>179</v>
      </c>
      <c r="AP20" s="500"/>
      <c r="AQ20" s="86"/>
      <c r="AR20" s="86"/>
      <c r="AS20" s="86"/>
    </row>
    <row r="21" spans="1:45" ht="99.75" customHeight="1" x14ac:dyDescent="0.25">
      <c r="A21" s="480"/>
      <c r="B21" s="480"/>
      <c r="C21" s="476"/>
      <c r="D21" s="538"/>
      <c r="E21" s="477"/>
      <c r="F21" s="497"/>
      <c r="G21" s="497"/>
      <c r="H21" s="480"/>
      <c r="I21" s="464" t="s">
        <v>2</v>
      </c>
      <c r="J21" s="464"/>
      <c r="K21" s="464" t="s">
        <v>639</v>
      </c>
      <c r="L21" s="464"/>
      <c r="M21" s="464" t="s">
        <v>2</v>
      </c>
      <c r="N21" s="464"/>
      <c r="O21" s="464" t="s">
        <v>639</v>
      </c>
      <c r="P21" s="464"/>
      <c r="Q21" s="464" t="s">
        <v>2</v>
      </c>
      <c r="R21" s="464"/>
      <c r="S21" s="464" t="s">
        <v>639</v>
      </c>
      <c r="T21" s="464"/>
      <c r="U21" s="464" t="s">
        <v>2</v>
      </c>
      <c r="V21" s="464"/>
      <c r="W21" s="464" t="s">
        <v>639</v>
      </c>
      <c r="X21" s="464"/>
      <c r="Y21" s="464" t="s">
        <v>2</v>
      </c>
      <c r="Z21" s="464"/>
      <c r="AA21" s="464" t="s">
        <v>639</v>
      </c>
      <c r="AB21" s="464"/>
      <c r="AC21" s="496" t="s">
        <v>2</v>
      </c>
      <c r="AD21" s="496"/>
      <c r="AE21" s="496" t="s">
        <v>178</v>
      </c>
      <c r="AF21" s="496"/>
      <c r="AG21" s="496" t="s">
        <v>2</v>
      </c>
      <c r="AH21" s="496"/>
      <c r="AI21" s="496" t="s">
        <v>178</v>
      </c>
      <c r="AJ21" s="496"/>
      <c r="AK21" s="496" t="s">
        <v>2</v>
      </c>
      <c r="AL21" s="496"/>
      <c r="AM21" s="496" t="s">
        <v>178</v>
      </c>
      <c r="AN21" s="496"/>
      <c r="AO21" s="500"/>
      <c r="AP21" s="500"/>
    </row>
    <row r="22" spans="1:45" ht="89.25" customHeight="1" x14ac:dyDescent="0.25">
      <c r="A22" s="481"/>
      <c r="B22" s="481"/>
      <c r="C22" s="338" t="s">
        <v>2</v>
      </c>
      <c r="D22" s="338" t="s">
        <v>178</v>
      </c>
      <c r="E22" s="389" t="s">
        <v>178</v>
      </c>
      <c r="F22" s="85" t="s">
        <v>646</v>
      </c>
      <c r="G22" s="85" t="s">
        <v>780</v>
      </c>
      <c r="H22" s="481"/>
      <c r="I22" s="84" t="s">
        <v>471</v>
      </c>
      <c r="J22" s="84" t="s">
        <v>472</v>
      </c>
      <c r="K22" s="84" t="s">
        <v>471</v>
      </c>
      <c r="L22" s="84" t="s">
        <v>472</v>
      </c>
      <c r="M22" s="84" t="s">
        <v>471</v>
      </c>
      <c r="N22" s="84" t="s">
        <v>472</v>
      </c>
      <c r="O22" s="84" t="s">
        <v>471</v>
      </c>
      <c r="P22" s="84" t="s">
        <v>472</v>
      </c>
      <c r="Q22" s="84" t="s">
        <v>471</v>
      </c>
      <c r="R22" s="84" t="s">
        <v>472</v>
      </c>
      <c r="S22" s="84" t="s">
        <v>471</v>
      </c>
      <c r="T22" s="84" t="s">
        <v>472</v>
      </c>
      <c r="U22" s="342" t="s">
        <v>471</v>
      </c>
      <c r="V22" s="342" t="s">
        <v>472</v>
      </c>
      <c r="W22" s="342" t="s">
        <v>471</v>
      </c>
      <c r="X22" s="342" t="s">
        <v>472</v>
      </c>
      <c r="Y22" s="342" t="s">
        <v>471</v>
      </c>
      <c r="Z22" s="342" t="s">
        <v>472</v>
      </c>
      <c r="AA22" s="342" t="s">
        <v>471</v>
      </c>
      <c r="AB22" s="342" t="s">
        <v>472</v>
      </c>
      <c r="AC22" s="342" t="s">
        <v>471</v>
      </c>
      <c r="AD22" s="342" t="s">
        <v>472</v>
      </c>
      <c r="AE22" s="342" t="s">
        <v>471</v>
      </c>
      <c r="AF22" s="342" t="s">
        <v>472</v>
      </c>
      <c r="AG22" s="342" t="s">
        <v>471</v>
      </c>
      <c r="AH22" s="342" t="s">
        <v>472</v>
      </c>
      <c r="AI22" s="342" t="s">
        <v>471</v>
      </c>
      <c r="AJ22" s="342" t="s">
        <v>472</v>
      </c>
      <c r="AK22" s="342" t="s">
        <v>471</v>
      </c>
      <c r="AL22" s="342" t="s">
        <v>472</v>
      </c>
      <c r="AM22" s="342" t="s">
        <v>471</v>
      </c>
      <c r="AN22" s="342" t="s">
        <v>472</v>
      </c>
      <c r="AO22" s="338" t="s">
        <v>2</v>
      </c>
      <c r="AP22" s="375" t="s">
        <v>9</v>
      </c>
    </row>
    <row r="23" spans="1:45" ht="19.5" customHeight="1" x14ac:dyDescent="0.25">
      <c r="A23" s="343">
        <v>1</v>
      </c>
      <c r="B23" s="343">
        <v>2</v>
      </c>
      <c r="C23" s="343">
        <v>3</v>
      </c>
      <c r="D23" s="343">
        <v>4</v>
      </c>
      <c r="E23" s="390">
        <v>4</v>
      </c>
      <c r="F23" s="343">
        <v>5</v>
      </c>
      <c r="G23" s="343">
        <v>6</v>
      </c>
      <c r="H23" s="380">
        <v>7</v>
      </c>
      <c r="I23" s="380">
        <v>8</v>
      </c>
      <c r="J23" s="380">
        <v>9</v>
      </c>
      <c r="K23" s="380">
        <v>10</v>
      </c>
      <c r="L23" s="380">
        <v>11</v>
      </c>
      <c r="M23" s="380">
        <v>12</v>
      </c>
      <c r="N23" s="380">
        <v>13</v>
      </c>
      <c r="O23" s="380">
        <v>14</v>
      </c>
      <c r="P23" s="380">
        <v>15</v>
      </c>
      <c r="Q23" s="380">
        <v>16</v>
      </c>
      <c r="R23" s="380">
        <v>17</v>
      </c>
      <c r="S23" s="380">
        <v>18</v>
      </c>
      <c r="T23" s="380">
        <v>19</v>
      </c>
      <c r="U23" s="380">
        <v>20</v>
      </c>
      <c r="V23" s="380">
        <v>21</v>
      </c>
      <c r="W23" s="380">
        <v>22</v>
      </c>
      <c r="X23" s="380">
        <v>23</v>
      </c>
      <c r="Y23" s="380">
        <v>24</v>
      </c>
      <c r="Z23" s="380">
        <v>25</v>
      </c>
      <c r="AA23" s="380">
        <v>26</v>
      </c>
      <c r="AB23" s="380">
        <v>27</v>
      </c>
      <c r="AC23" s="343">
        <v>16</v>
      </c>
      <c r="AD23" s="343">
        <v>17</v>
      </c>
      <c r="AE23" s="343">
        <v>18</v>
      </c>
      <c r="AF23" s="343">
        <v>19</v>
      </c>
      <c r="AG23" s="343">
        <v>20</v>
      </c>
      <c r="AH23" s="343">
        <v>21</v>
      </c>
      <c r="AI23" s="343">
        <v>22</v>
      </c>
      <c r="AJ23" s="343">
        <v>23</v>
      </c>
      <c r="AK23" s="343">
        <v>24</v>
      </c>
      <c r="AL23" s="343">
        <v>25</v>
      </c>
      <c r="AM23" s="343">
        <v>26</v>
      </c>
      <c r="AN23" s="343">
        <v>27</v>
      </c>
      <c r="AO23" s="343">
        <v>28</v>
      </c>
      <c r="AP23" s="343">
        <v>29</v>
      </c>
    </row>
    <row r="24" spans="1:45" ht="47.25" customHeight="1" x14ac:dyDescent="0.25">
      <c r="A24" s="344">
        <v>1</v>
      </c>
      <c r="B24" s="345" t="s">
        <v>177</v>
      </c>
      <c r="C24" s="346">
        <f t="shared" ref="C24:AA24" si="0">SUM(C25:C29)</f>
        <v>116.55341782000001</v>
      </c>
      <c r="D24" s="346">
        <f t="shared" si="0"/>
        <v>116.55341782000001</v>
      </c>
      <c r="E24" s="346">
        <f t="shared" ref="E24" si="1">SUM(E25:E29)</f>
        <v>0</v>
      </c>
      <c r="F24" s="346">
        <f t="shared" si="0"/>
        <v>116.55341782000001</v>
      </c>
      <c r="G24" s="346">
        <f t="shared" si="0"/>
        <v>2.1500000000000039</v>
      </c>
      <c r="H24" s="346">
        <f t="shared" si="0"/>
        <v>0</v>
      </c>
      <c r="I24" s="346">
        <f t="shared" si="0"/>
        <v>0</v>
      </c>
      <c r="J24" s="346">
        <f t="shared" si="0"/>
        <v>0</v>
      </c>
      <c r="K24" s="346">
        <f t="shared" si="0"/>
        <v>2.30529297</v>
      </c>
      <c r="L24" s="346">
        <f t="shared" si="0"/>
        <v>0</v>
      </c>
      <c r="M24" s="346">
        <f t="shared" si="0"/>
        <v>98.580612246002005</v>
      </c>
      <c r="N24" s="346">
        <f t="shared" si="0"/>
        <v>0</v>
      </c>
      <c r="O24" s="346">
        <f t="shared" si="0"/>
        <v>107.78619054000001</v>
      </c>
      <c r="P24" s="346">
        <f t="shared" si="0"/>
        <v>0</v>
      </c>
      <c r="Q24" s="346">
        <f t="shared" si="0"/>
        <v>10</v>
      </c>
      <c r="R24" s="346">
        <f t="shared" si="0"/>
        <v>0</v>
      </c>
      <c r="S24" s="346">
        <f t="shared" si="0"/>
        <v>4.3119343099999998</v>
      </c>
      <c r="T24" s="346">
        <f t="shared" si="0"/>
        <v>0</v>
      </c>
      <c r="U24" s="346">
        <f t="shared" si="0"/>
        <v>2.15</v>
      </c>
      <c r="V24" s="346">
        <f t="shared" si="0"/>
        <v>2.15</v>
      </c>
      <c r="W24" s="346">
        <f t="shared" si="0"/>
        <v>0</v>
      </c>
      <c r="X24" s="346">
        <f t="shared" si="0"/>
        <v>0</v>
      </c>
      <c r="Y24" s="346">
        <f t="shared" si="0"/>
        <v>0</v>
      </c>
      <c r="Z24" s="346">
        <f t="shared" si="0"/>
        <v>0</v>
      </c>
      <c r="AA24" s="346">
        <f t="shared" si="0"/>
        <v>0</v>
      </c>
      <c r="AB24" s="346">
        <f t="shared" ref="AB24" si="2">SUM(AB25:AB29)</f>
        <v>0</v>
      </c>
      <c r="AC24" s="346">
        <f t="shared" ref="AC24:AL24" si="3">SUM(AC25:AC29)</f>
        <v>0</v>
      </c>
      <c r="AD24" s="346">
        <f t="shared" si="3"/>
        <v>0</v>
      </c>
      <c r="AE24" s="346" t="s">
        <v>645</v>
      </c>
      <c r="AF24" s="346" t="s">
        <v>645</v>
      </c>
      <c r="AG24" s="346">
        <f t="shared" si="3"/>
        <v>0</v>
      </c>
      <c r="AH24" s="346">
        <f t="shared" si="3"/>
        <v>0</v>
      </c>
      <c r="AI24" s="346" t="s">
        <v>645</v>
      </c>
      <c r="AJ24" s="346" t="s">
        <v>645</v>
      </c>
      <c r="AK24" s="346">
        <f t="shared" si="3"/>
        <v>0</v>
      </c>
      <c r="AL24" s="346">
        <f t="shared" si="3"/>
        <v>0</v>
      </c>
      <c r="AM24" s="346" t="s">
        <v>645</v>
      </c>
      <c r="AN24" s="346" t="s">
        <v>645</v>
      </c>
      <c r="AO24" s="346">
        <f>I24+M24+Q24+U24+Y24</f>
        <v>110.73061224600201</v>
      </c>
      <c r="AP24" s="357">
        <f>K24+O24+S24+W24+AA24</f>
        <v>114.40341782</v>
      </c>
    </row>
    <row r="25" spans="1:45" ht="24" customHeight="1" x14ac:dyDescent="0.25">
      <c r="A25" s="347" t="s">
        <v>176</v>
      </c>
      <c r="B25" s="348" t="s">
        <v>175</v>
      </c>
      <c r="C25" s="346">
        <v>0</v>
      </c>
      <c r="D25" s="346">
        <v>0</v>
      </c>
      <c r="E25" s="346">
        <v>0</v>
      </c>
      <c r="F25" s="346">
        <f>C25</f>
        <v>0</v>
      </c>
      <c r="G25" s="346">
        <f>F25-H25-K25-O25-S25</f>
        <v>0</v>
      </c>
      <c r="H25" s="299">
        <v>0</v>
      </c>
      <c r="I25" s="299">
        <v>0</v>
      </c>
      <c r="J25" s="299">
        <v>0</v>
      </c>
      <c r="K25" s="299">
        <v>0</v>
      </c>
      <c r="L25" s="299">
        <v>0</v>
      </c>
      <c r="M25" s="299">
        <v>0</v>
      </c>
      <c r="N25" s="299">
        <v>0</v>
      </c>
      <c r="O25" s="299">
        <v>0</v>
      </c>
      <c r="P25" s="299">
        <v>0</v>
      </c>
      <c r="Q25" s="299">
        <v>0</v>
      </c>
      <c r="R25" s="299">
        <v>0</v>
      </c>
      <c r="S25" s="384">
        <v>0</v>
      </c>
      <c r="T25" s="299">
        <v>0</v>
      </c>
      <c r="U25" s="349">
        <v>0</v>
      </c>
      <c r="V25" s="349">
        <v>0</v>
      </c>
      <c r="W25" s="349">
        <v>0</v>
      </c>
      <c r="X25" s="349">
        <v>0</v>
      </c>
      <c r="Y25" s="349">
        <v>0</v>
      </c>
      <c r="Z25" s="349">
        <v>0</v>
      </c>
      <c r="AA25" s="349">
        <v>0</v>
      </c>
      <c r="AB25" s="349">
        <v>0</v>
      </c>
      <c r="AC25" s="349">
        <v>0</v>
      </c>
      <c r="AD25" s="349">
        <v>0</v>
      </c>
      <c r="AE25" s="346" t="s">
        <v>645</v>
      </c>
      <c r="AF25" s="346" t="s">
        <v>645</v>
      </c>
      <c r="AG25" s="349">
        <v>0</v>
      </c>
      <c r="AH25" s="349">
        <v>0</v>
      </c>
      <c r="AI25" s="346" t="s">
        <v>645</v>
      </c>
      <c r="AJ25" s="346" t="s">
        <v>645</v>
      </c>
      <c r="AK25" s="349">
        <v>0</v>
      </c>
      <c r="AL25" s="349">
        <v>0</v>
      </c>
      <c r="AM25" s="346" t="s">
        <v>645</v>
      </c>
      <c r="AN25" s="346" t="s">
        <v>645</v>
      </c>
      <c r="AO25" s="346">
        <f t="shared" ref="AO25:AO64" si="4">I25+M25+Q25+U25+Y25</f>
        <v>0</v>
      </c>
      <c r="AP25" s="357">
        <f t="shared" ref="AP25:AP64" si="5">K25+O25+S25+W25+AA25</f>
        <v>0</v>
      </c>
    </row>
    <row r="26" spans="1:45" x14ac:dyDescent="0.25">
      <c r="A26" s="347" t="s">
        <v>174</v>
      </c>
      <c r="B26" s="348" t="s">
        <v>173</v>
      </c>
      <c r="C26" s="346">
        <v>0</v>
      </c>
      <c r="D26" s="346">
        <v>0</v>
      </c>
      <c r="E26" s="346">
        <v>0</v>
      </c>
      <c r="F26" s="346">
        <f t="shared" ref="F26:F64" si="6">C26</f>
        <v>0</v>
      </c>
      <c r="G26" s="346">
        <f t="shared" ref="G26:G29" si="7">F26-H26-K26-O26-S26</f>
        <v>0</v>
      </c>
      <c r="H26" s="299">
        <v>0</v>
      </c>
      <c r="I26" s="299">
        <v>0</v>
      </c>
      <c r="J26" s="299">
        <v>0</v>
      </c>
      <c r="K26" s="299">
        <v>0</v>
      </c>
      <c r="L26" s="299">
        <v>0</v>
      </c>
      <c r="M26" s="299">
        <v>0</v>
      </c>
      <c r="N26" s="299">
        <v>0</v>
      </c>
      <c r="O26" s="299">
        <v>0</v>
      </c>
      <c r="P26" s="299">
        <v>0</v>
      </c>
      <c r="Q26" s="299">
        <v>0</v>
      </c>
      <c r="R26" s="299">
        <v>0</v>
      </c>
      <c r="S26" s="384">
        <v>0</v>
      </c>
      <c r="T26" s="299">
        <v>0</v>
      </c>
      <c r="U26" s="349">
        <v>0</v>
      </c>
      <c r="V26" s="349">
        <v>0</v>
      </c>
      <c r="W26" s="349">
        <v>0</v>
      </c>
      <c r="X26" s="349">
        <v>0</v>
      </c>
      <c r="Y26" s="349">
        <v>0</v>
      </c>
      <c r="Z26" s="349">
        <v>0</v>
      </c>
      <c r="AA26" s="349">
        <v>0</v>
      </c>
      <c r="AB26" s="349">
        <v>0</v>
      </c>
      <c r="AC26" s="349">
        <v>0</v>
      </c>
      <c r="AD26" s="349">
        <v>0</v>
      </c>
      <c r="AE26" s="346" t="s">
        <v>645</v>
      </c>
      <c r="AF26" s="346" t="s">
        <v>645</v>
      </c>
      <c r="AG26" s="349">
        <v>0</v>
      </c>
      <c r="AH26" s="349">
        <v>0</v>
      </c>
      <c r="AI26" s="346" t="s">
        <v>645</v>
      </c>
      <c r="AJ26" s="346" t="s">
        <v>645</v>
      </c>
      <c r="AK26" s="349">
        <v>0</v>
      </c>
      <c r="AL26" s="349">
        <v>0</v>
      </c>
      <c r="AM26" s="346" t="s">
        <v>645</v>
      </c>
      <c r="AN26" s="346" t="s">
        <v>645</v>
      </c>
      <c r="AO26" s="346">
        <f t="shared" si="4"/>
        <v>0</v>
      </c>
      <c r="AP26" s="357">
        <f t="shared" si="5"/>
        <v>0</v>
      </c>
    </row>
    <row r="27" spans="1:45" ht="31.5" x14ac:dyDescent="0.25">
      <c r="A27" s="347" t="s">
        <v>172</v>
      </c>
      <c r="B27" s="348" t="s">
        <v>427</v>
      </c>
      <c r="C27" s="346">
        <v>0</v>
      </c>
      <c r="D27" s="346">
        <v>0</v>
      </c>
      <c r="E27" s="346">
        <v>0</v>
      </c>
      <c r="F27" s="346">
        <f t="shared" si="6"/>
        <v>0</v>
      </c>
      <c r="G27" s="346">
        <f t="shared" si="7"/>
        <v>0</v>
      </c>
      <c r="H27" s="299">
        <v>0</v>
      </c>
      <c r="I27" s="299">
        <v>0</v>
      </c>
      <c r="J27" s="299">
        <v>0</v>
      </c>
      <c r="K27" s="299">
        <v>0</v>
      </c>
      <c r="L27" s="299">
        <v>0</v>
      </c>
      <c r="M27" s="300">
        <v>0</v>
      </c>
      <c r="N27" s="299">
        <v>0</v>
      </c>
      <c r="O27" s="300">
        <v>0</v>
      </c>
      <c r="P27" s="299">
        <v>0</v>
      </c>
      <c r="Q27" s="299">
        <v>0</v>
      </c>
      <c r="R27" s="299">
        <v>0</v>
      </c>
      <c r="S27" s="384">
        <v>0</v>
      </c>
      <c r="T27" s="299">
        <v>0</v>
      </c>
      <c r="U27" s="349">
        <v>0</v>
      </c>
      <c r="V27" s="349">
        <v>0</v>
      </c>
      <c r="W27" s="349">
        <v>0</v>
      </c>
      <c r="X27" s="349">
        <v>0</v>
      </c>
      <c r="Y27" s="349">
        <v>0</v>
      </c>
      <c r="Z27" s="349">
        <v>0</v>
      </c>
      <c r="AA27" s="349">
        <v>0</v>
      </c>
      <c r="AB27" s="349">
        <v>0</v>
      </c>
      <c r="AC27" s="349">
        <v>0</v>
      </c>
      <c r="AD27" s="349">
        <v>0</v>
      </c>
      <c r="AE27" s="346" t="s">
        <v>645</v>
      </c>
      <c r="AF27" s="346" t="s">
        <v>645</v>
      </c>
      <c r="AG27" s="349">
        <v>0</v>
      </c>
      <c r="AH27" s="349">
        <v>0</v>
      </c>
      <c r="AI27" s="346" t="s">
        <v>645</v>
      </c>
      <c r="AJ27" s="346" t="s">
        <v>645</v>
      </c>
      <c r="AK27" s="349">
        <v>0</v>
      </c>
      <c r="AL27" s="349">
        <v>0</v>
      </c>
      <c r="AM27" s="346" t="s">
        <v>645</v>
      </c>
      <c r="AN27" s="346" t="s">
        <v>645</v>
      </c>
      <c r="AO27" s="346">
        <f t="shared" si="4"/>
        <v>0</v>
      </c>
      <c r="AP27" s="357">
        <f t="shared" si="5"/>
        <v>0</v>
      </c>
    </row>
    <row r="28" spans="1:45" x14ac:dyDescent="0.25">
      <c r="A28" s="347" t="s">
        <v>171</v>
      </c>
      <c r="B28" s="348" t="s">
        <v>744</v>
      </c>
      <c r="C28" s="346">
        <v>116.55341782000001</v>
      </c>
      <c r="D28" s="346">
        <v>116.55341782000001</v>
      </c>
      <c r="E28" s="346">
        <v>0</v>
      </c>
      <c r="F28" s="346">
        <f t="shared" si="6"/>
        <v>116.55341782000001</v>
      </c>
      <c r="G28" s="346">
        <f t="shared" si="7"/>
        <v>2.1500000000000039</v>
      </c>
      <c r="H28" s="299">
        <v>0</v>
      </c>
      <c r="I28" s="299">
        <v>0</v>
      </c>
      <c r="J28" s="299">
        <v>0</v>
      </c>
      <c r="K28" s="299">
        <v>2.30529297</v>
      </c>
      <c r="L28" s="299">
        <v>0</v>
      </c>
      <c r="M28" s="299">
        <v>98.580612246002005</v>
      </c>
      <c r="N28" s="299">
        <v>0</v>
      </c>
      <c r="O28" s="299">
        <v>107.78619054000001</v>
      </c>
      <c r="P28" s="299">
        <v>0</v>
      </c>
      <c r="Q28" s="299">
        <v>10</v>
      </c>
      <c r="R28" s="299">
        <v>0</v>
      </c>
      <c r="S28" s="384">
        <v>4.3119343099999998</v>
      </c>
      <c r="T28" s="299">
        <v>0</v>
      </c>
      <c r="U28" s="349">
        <v>2.15</v>
      </c>
      <c r="V28" s="349">
        <v>2.15</v>
      </c>
      <c r="W28" s="349">
        <v>0</v>
      </c>
      <c r="X28" s="349">
        <v>0</v>
      </c>
      <c r="Y28" s="349">
        <v>0</v>
      </c>
      <c r="Z28" s="349">
        <v>0</v>
      </c>
      <c r="AA28" s="349">
        <v>0</v>
      </c>
      <c r="AB28" s="349">
        <v>0</v>
      </c>
      <c r="AC28" s="349">
        <v>0</v>
      </c>
      <c r="AD28" s="349">
        <v>0</v>
      </c>
      <c r="AE28" s="346" t="s">
        <v>645</v>
      </c>
      <c r="AF28" s="346" t="s">
        <v>645</v>
      </c>
      <c r="AG28" s="349">
        <v>0</v>
      </c>
      <c r="AH28" s="349">
        <v>0</v>
      </c>
      <c r="AI28" s="346" t="s">
        <v>645</v>
      </c>
      <c r="AJ28" s="346" t="s">
        <v>645</v>
      </c>
      <c r="AK28" s="349">
        <v>0</v>
      </c>
      <c r="AL28" s="349">
        <v>0</v>
      </c>
      <c r="AM28" s="346" t="s">
        <v>645</v>
      </c>
      <c r="AN28" s="346" t="s">
        <v>645</v>
      </c>
      <c r="AO28" s="346">
        <f t="shared" si="4"/>
        <v>110.73061224600201</v>
      </c>
      <c r="AP28" s="357">
        <f t="shared" si="5"/>
        <v>114.40341782</v>
      </c>
    </row>
    <row r="29" spans="1:45" x14ac:dyDescent="0.25">
      <c r="A29" s="347" t="s">
        <v>169</v>
      </c>
      <c r="B29" s="82" t="s">
        <v>168</v>
      </c>
      <c r="C29" s="346">
        <v>0</v>
      </c>
      <c r="D29" s="346">
        <v>0</v>
      </c>
      <c r="E29" s="346">
        <v>0</v>
      </c>
      <c r="F29" s="346">
        <f t="shared" si="6"/>
        <v>0</v>
      </c>
      <c r="G29" s="346">
        <f t="shared" si="7"/>
        <v>0</v>
      </c>
      <c r="H29" s="299">
        <v>0</v>
      </c>
      <c r="I29" s="299">
        <v>0</v>
      </c>
      <c r="J29" s="299">
        <v>0</v>
      </c>
      <c r="K29" s="299">
        <v>0</v>
      </c>
      <c r="L29" s="299">
        <v>0</v>
      </c>
      <c r="M29" s="299">
        <v>0</v>
      </c>
      <c r="N29" s="299">
        <v>0</v>
      </c>
      <c r="O29" s="299">
        <v>0</v>
      </c>
      <c r="P29" s="299">
        <v>0</v>
      </c>
      <c r="Q29" s="299">
        <v>0</v>
      </c>
      <c r="R29" s="299">
        <v>0</v>
      </c>
      <c r="S29" s="384">
        <v>0</v>
      </c>
      <c r="T29" s="299">
        <v>0</v>
      </c>
      <c r="U29" s="349">
        <v>0</v>
      </c>
      <c r="V29" s="349">
        <v>0</v>
      </c>
      <c r="W29" s="350">
        <v>0</v>
      </c>
      <c r="X29" s="349">
        <v>0</v>
      </c>
      <c r="Y29" s="349">
        <v>0</v>
      </c>
      <c r="Z29" s="349">
        <v>0</v>
      </c>
      <c r="AA29" s="349">
        <v>0</v>
      </c>
      <c r="AB29" s="349">
        <v>0</v>
      </c>
      <c r="AC29" s="349">
        <v>0</v>
      </c>
      <c r="AD29" s="349">
        <v>0</v>
      </c>
      <c r="AE29" s="346" t="s">
        <v>645</v>
      </c>
      <c r="AF29" s="346" t="s">
        <v>645</v>
      </c>
      <c r="AG29" s="349">
        <v>0</v>
      </c>
      <c r="AH29" s="349">
        <v>0</v>
      </c>
      <c r="AI29" s="346" t="s">
        <v>645</v>
      </c>
      <c r="AJ29" s="346" t="s">
        <v>645</v>
      </c>
      <c r="AK29" s="349">
        <v>0</v>
      </c>
      <c r="AL29" s="349">
        <v>0</v>
      </c>
      <c r="AM29" s="346" t="s">
        <v>645</v>
      </c>
      <c r="AN29" s="346" t="s">
        <v>645</v>
      </c>
      <c r="AO29" s="346">
        <f t="shared" si="4"/>
        <v>0</v>
      </c>
      <c r="AP29" s="357">
        <f t="shared" si="5"/>
        <v>0</v>
      </c>
    </row>
    <row r="30" spans="1:45" s="351" customFormat="1" ht="47.25" x14ac:dyDescent="0.25">
      <c r="A30" s="344" t="s">
        <v>61</v>
      </c>
      <c r="B30" s="345" t="s">
        <v>167</v>
      </c>
      <c r="C30" s="346">
        <v>99.177313789999999</v>
      </c>
      <c r="D30" s="346">
        <v>99.177313789999999</v>
      </c>
      <c r="E30" s="346">
        <v>0</v>
      </c>
      <c r="F30" s="346">
        <f t="shared" si="6"/>
        <v>99.177313789999999</v>
      </c>
      <c r="G30" s="346">
        <v>0</v>
      </c>
      <c r="H30" s="298">
        <v>0</v>
      </c>
      <c r="I30" s="298">
        <v>0</v>
      </c>
      <c r="J30" s="298">
        <v>0</v>
      </c>
      <c r="K30" s="298">
        <v>41.359351230000001</v>
      </c>
      <c r="L30" s="298">
        <v>0</v>
      </c>
      <c r="M30" s="302">
        <v>52.675899742374583</v>
      </c>
      <c r="N30" s="298">
        <v>0</v>
      </c>
      <c r="O30" s="302">
        <v>57.817962559999998</v>
      </c>
      <c r="P30" s="302">
        <v>0</v>
      </c>
      <c r="Q30" s="298">
        <v>0</v>
      </c>
      <c r="R30" s="298">
        <v>0</v>
      </c>
      <c r="S30" s="383">
        <v>0</v>
      </c>
      <c r="T30" s="302">
        <v>0</v>
      </c>
      <c r="U30" s="346">
        <v>0</v>
      </c>
      <c r="V30" s="346">
        <v>0</v>
      </c>
      <c r="W30" s="346">
        <v>0</v>
      </c>
      <c r="X30" s="346">
        <v>0</v>
      </c>
      <c r="Y30" s="346">
        <v>0</v>
      </c>
      <c r="Z30" s="346">
        <v>0</v>
      </c>
      <c r="AA30" s="346">
        <v>0</v>
      </c>
      <c r="AB30" s="346">
        <v>0</v>
      </c>
      <c r="AC30" s="346">
        <v>0</v>
      </c>
      <c r="AD30" s="346">
        <v>0</v>
      </c>
      <c r="AE30" s="346" t="s">
        <v>645</v>
      </c>
      <c r="AF30" s="346" t="s">
        <v>645</v>
      </c>
      <c r="AG30" s="346">
        <v>0</v>
      </c>
      <c r="AH30" s="346">
        <v>0</v>
      </c>
      <c r="AI30" s="346" t="s">
        <v>645</v>
      </c>
      <c r="AJ30" s="346" t="s">
        <v>645</v>
      </c>
      <c r="AK30" s="346">
        <v>0</v>
      </c>
      <c r="AL30" s="346">
        <v>0</v>
      </c>
      <c r="AM30" s="346" t="s">
        <v>645</v>
      </c>
      <c r="AN30" s="346" t="s">
        <v>645</v>
      </c>
      <c r="AO30" s="346">
        <f t="shared" si="4"/>
        <v>52.675899742374583</v>
      </c>
      <c r="AP30" s="357">
        <f t="shared" si="5"/>
        <v>99.177313789999999</v>
      </c>
    </row>
    <row r="31" spans="1:45" x14ac:dyDescent="0.25">
      <c r="A31" s="344" t="s">
        <v>166</v>
      </c>
      <c r="B31" s="348" t="s">
        <v>165</v>
      </c>
      <c r="C31" s="346">
        <v>2.15</v>
      </c>
      <c r="D31" s="346">
        <v>2.15</v>
      </c>
      <c r="E31" s="346">
        <v>0</v>
      </c>
      <c r="F31" s="346">
        <f t="shared" si="6"/>
        <v>2.15</v>
      </c>
      <c r="G31" s="346">
        <v>0</v>
      </c>
      <c r="H31" s="299">
        <v>0</v>
      </c>
      <c r="I31" s="299">
        <v>0</v>
      </c>
      <c r="J31" s="299">
        <v>0</v>
      </c>
      <c r="K31" s="299">
        <v>0</v>
      </c>
      <c r="L31" s="299">
        <v>0</v>
      </c>
      <c r="M31" s="299">
        <v>2.15</v>
      </c>
      <c r="N31" s="299">
        <v>0</v>
      </c>
      <c r="O31" s="299">
        <v>2.15</v>
      </c>
      <c r="P31" s="299">
        <v>0</v>
      </c>
      <c r="Q31" s="299">
        <v>0</v>
      </c>
      <c r="R31" s="299">
        <v>0</v>
      </c>
      <c r="S31" s="384">
        <v>0</v>
      </c>
      <c r="T31" s="299">
        <v>0</v>
      </c>
      <c r="U31" s="349">
        <v>0</v>
      </c>
      <c r="V31" s="349">
        <v>0</v>
      </c>
      <c r="W31" s="349">
        <v>0</v>
      </c>
      <c r="X31" s="349">
        <v>0</v>
      </c>
      <c r="Y31" s="349">
        <v>0</v>
      </c>
      <c r="Z31" s="349">
        <v>0</v>
      </c>
      <c r="AA31" s="349">
        <v>0</v>
      </c>
      <c r="AB31" s="349">
        <v>0</v>
      </c>
      <c r="AC31" s="349">
        <v>0</v>
      </c>
      <c r="AD31" s="349">
        <v>0</v>
      </c>
      <c r="AE31" s="346" t="s">
        <v>645</v>
      </c>
      <c r="AF31" s="346" t="s">
        <v>645</v>
      </c>
      <c r="AG31" s="349">
        <v>0</v>
      </c>
      <c r="AH31" s="349">
        <v>0</v>
      </c>
      <c r="AI31" s="346" t="s">
        <v>645</v>
      </c>
      <c r="AJ31" s="346" t="s">
        <v>645</v>
      </c>
      <c r="AK31" s="349">
        <v>0</v>
      </c>
      <c r="AL31" s="349">
        <v>0</v>
      </c>
      <c r="AM31" s="346" t="s">
        <v>645</v>
      </c>
      <c r="AN31" s="346" t="s">
        <v>645</v>
      </c>
      <c r="AO31" s="346">
        <f t="shared" si="4"/>
        <v>2.15</v>
      </c>
      <c r="AP31" s="357">
        <f t="shared" si="5"/>
        <v>2.15</v>
      </c>
    </row>
    <row r="32" spans="1:45" ht="31.5" x14ac:dyDescent="0.25">
      <c r="A32" s="344" t="s">
        <v>164</v>
      </c>
      <c r="B32" s="348" t="s">
        <v>163</v>
      </c>
      <c r="C32" s="346">
        <v>50.85231589</v>
      </c>
      <c r="D32" s="346">
        <v>50.85231589</v>
      </c>
      <c r="E32" s="346">
        <v>0</v>
      </c>
      <c r="F32" s="346">
        <f t="shared" si="6"/>
        <v>50.85231589</v>
      </c>
      <c r="G32" s="346">
        <v>0</v>
      </c>
      <c r="H32" s="299">
        <v>0</v>
      </c>
      <c r="I32" s="299">
        <v>0</v>
      </c>
      <c r="J32" s="299">
        <v>0</v>
      </c>
      <c r="K32" s="299">
        <v>17.005739999999999</v>
      </c>
      <c r="L32" s="299">
        <v>0</v>
      </c>
      <c r="M32" s="299">
        <v>31.806508559065595</v>
      </c>
      <c r="N32" s="299">
        <v>0</v>
      </c>
      <c r="O32" s="299">
        <v>33.846575890000004</v>
      </c>
      <c r="P32" s="299">
        <v>0</v>
      </c>
      <c r="Q32" s="299">
        <v>0</v>
      </c>
      <c r="R32" s="299">
        <v>0</v>
      </c>
      <c r="S32" s="384">
        <v>0</v>
      </c>
      <c r="T32" s="299">
        <v>0</v>
      </c>
      <c r="U32" s="349">
        <v>0</v>
      </c>
      <c r="V32" s="349">
        <v>0</v>
      </c>
      <c r="W32" s="349">
        <v>0</v>
      </c>
      <c r="X32" s="349">
        <v>0</v>
      </c>
      <c r="Y32" s="349">
        <v>0</v>
      </c>
      <c r="Z32" s="349">
        <v>0</v>
      </c>
      <c r="AA32" s="349">
        <v>0</v>
      </c>
      <c r="AB32" s="349">
        <v>0</v>
      </c>
      <c r="AC32" s="349">
        <v>0</v>
      </c>
      <c r="AD32" s="349">
        <v>0</v>
      </c>
      <c r="AE32" s="346" t="s">
        <v>645</v>
      </c>
      <c r="AF32" s="346" t="s">
        <v>645</v>
      </c>
      <c r="AG32" s="349">
        <v>0</v>
      </c>
      <c r="AH32" s="349">
        <v>0</v>
      </c>
      <c r="AI32" s="346" t="s">
        <v>645</v>
      </c>
      <c r="AJ32" s="346" t="s">
        <v>645</v>
      </c>
      <c r="AK32" s="349">
        <v>0</v>
      </c>
      <c r="AL32" s="349">
        <v>0</v>
      </c>
      <c r="AM32" s="346" t="s">
        <v>645</v>
      </c>
      <c r="AN32" s="346" t="s">
        <v>645</v>
      </c>
      <c r="AO32" s="346">
        <f t="shared" si="4"/>
        <v>31.806508559065595</v>
      </c>
      <c r="AP32" s="357">
        <f t="shared" si="5"/>
        <v>50.85231589</v>
      </c>
    </row>
    <row r="33" spans="1:42" x14ac:dyDescent="0.25">
      <c r="A33" s="344" t="s">
        <v>162</v>
      </c>
      <c r="B33" s="348" t="s">
        <v>161</v>
      </c>
      <c r="C33" s="346">
        <v>40.861238</v>
      </c>
      <c r="D33" s="346">
        <v>40.861238</v>
      </c>
      <c r="E33" s="346">
        <v>0</v>
      </c>
      <c r="F33" s="346">
        <f t="shared" si="6"/>
        <v>40.861238</v>
      </c>
      <c r="G33" s="346">
        <v>0</v>
      </c>
      <c r="H33" s="299">
        <v>0</v>
      </c>
      <c r="I33" s="299">
        <v>0</v>
      </c>
      <c r="J33" s="299">
        <v>0</v>
      </c>
      <c r="K33" s="299">
        <v>23.2239</v>
      </c>
      <c r="L33" s="299">
        <v>0</v>
      </c>
      <c r="M33" s="299">
        <v>14.664198882758008</v>
      </c>
      <c r="N33" s="299">
        <v>0</v>
      </c>
      <c r="O33" s="299">
        <v>17.637338</v>
      </c>
      <c r="P33" s="299">
        <v>0</v>
      </c>
      <c r="Q33" s="299">
        <v>0</v>
      </c>
      <c r="R33" s="299">
        <v>0</v>
      </c>
      <c r="S33" s="384">
        <v>0</v>
      </c>
      <c r="T33" s="299">
        <v>0</v>
      </c>
      <c r="U33" s="349">
        <v>0</v>
      </c>
      <c r="V33" s="349">
        <v>0</v>
      </c>
      <c r="W33" s="349">
        <v>0</v>
      </c>
      <c r="X33" s="349">
        <v>0</v>
      </c>
      <c r="Y33" s="349">
        <v>0</v>
      </c>
      <c r="Z33" s="349">
        <v>0</v>
      </c>
      <c r="AA33" s="349">
        <v>0</v>
      </c>
      <c r="AB33" s="349">
        <v>0</v>
      </c>
      <c r="AC33" s="349">
        <v>0</v>
      </c>
      <c r="AD33" s="349">
        <v>0</v>
      </c>
      <c r="AE33" s="346" t="s">
        <v>645</v>
      </c>
      <c r="AF33" s="346" t="s">
        <v>645</v>
      </c>
      <c r="AG33" s="349">
        <v>0</v>
      </c>
      <c r="AH33" s="349">
        <v>0</v>
      </c>
      <c r="AI33" s="346" t="s">
        <v>645</v>
      </c>
      <c r="AJ33" s="346" t="s">
        <v>645</v>
      </c>
      <c r="AK33" s="349">
        <v>0</v>
      </c>
      <c r="AL33" s="349">
        <v>0</v>
      </c>
      <c r="AM33" s="346" t="s">
        <v>645</v>
      </c>
      <c r="AN33" s="346" t="s">
        <v>645</v>
      </c>
      <c r="AO33" s="346">
        <f t="shared" si="4"/>
        <v>14.664198882758008</v>
      </c>
      <c r="AP33" s="357">
        <f t="shared" si="5"/>
        <v>40.861238</v>
      </c>
    </row>
    <row r="34" spans="1:42" x14ac:dyDescent="0.25">
      <c r="A34" s="344" t="s">
        <v>160</v>
      </c>
      <c r="B34" s="348" t="s">
        <v>159</v>
      </c>
      <c r="C34" s="346">
        <v>5.3137599</v>
      </c>
      <c r="D34" s="346">
        <v>5.3137599</v>
      </c>
      <c r="E34" s="346">
        <v>0</v>
      </c>
      <c r="F34" s="346">
        <f t="shared" si="6"/>
        <v>5.3137599</v>
      </c>
      <c r="G34" s="346">
        <v>0</v>
      </c>
      <c r="H34" s="299">
        <v>0</v>
      </c>
      <c r="I34" s="299">
        <v>0</v>
      </c>
      <c r="J34" s="299">
        <v>0</v>
      </c>
      <c r="K34" s="299">
        <v>1.1297112300000001</v>
      </c>
      <c r="L34" s="299">
        <v>0</v>
      </c>
      <c r="M34" s="299">
        <v>4.055192300550976</v>
      </c>
      <c r="N34" s="299">
        <v>0</v>
      </c>
      <c r="O34" s="299">
        <v>4.1840482699999999</v>
      </c>
      <c r="P34" s="299">
        <v>0</v>
      </c>
      <c r="Q34" s="299">
        <v>0</v>
      </c>
      <c r="R34" s="299">
        <v>0</v>
      </c>
      <c r="S34" s="384">
        <v>0</v>
      </c>
      <c r="T34" s="299">
        <v>0</v>
      </c>
      <c r="U34" s="349">
        <v>0</v>
      </c>
      <c r="V34" s="349">
        <v>0</v>
      </c>
      <c r="W34" s="349">
        <v>0</v>
      </c>
      <c r="X34" s="349">
        <v>0</v>
      </c>
      <c r="Y34" s="349">
        <v>0</v>
      </c>
      <c r="Z34" s="349">
        <v>0</v>
      </c>
      <c r="AA34" s="349">
        <v>0</v>
      </c>
      <c r="AB34" s="349">
        <v>0</v>
      </c>
      <c r="AC34" s="349">
        <v>0</v>
      </c>
      <c r="AD34" s="349">
        <v>0</v>
      </c>
      <c r="AE34" s="346" t="s">
        <v>645</v>
      </c>
      <c r="AF34" s="346" t="s">
        <v>645</v>
      </c>
      <c r="AG34" s="349">
        <v>0</v>
      </c>
      <c r="AH34" s="349">
        <v>0</v>
      </c>
      <c r="AI34" s="346" t="s">
        <v>645</v>
      </c>
      <c r="AJ34" s="346" t="s">
        <v>645</v>
      </c>
      <c r="AK34" s="349">
        <v>0</v>
      </c>
      <c r="AL34" s="349">
        <v>0</v>
      </c>
      <c r="AM34" s="346" t="s">
        <v>645</v>
      </c>
      <c r="AN34" s="346" t="s">
        <v>645</v>
      </c>
      <c r="AO34" s="346">
        <f t="shared" si="4"/>
        <v>4.055192300550976</v>
      </c>
      <c r="AP34" s="357">
        <f t="shared" si="5"/>
        <v>5.3137594999999997</v>
      </c>
    </row>
    <row r="35" spans="1:42" s="351" customFormat="1" ht="31.5" x14ac:dyDescent="0.25">
      <c r="A35" s="344" t="s">
        <v>60</v>
      </c>
      <c r="B35" s="345" t="s">
        <v>158</v>
      </c>
      <c r="C35" s="346">
        <v>0</v>
      </c>
      <c r="D35" s="346">
        <v>0</v>
      </c>
      <c r="E35" s="346">
        <v>0</v>
      </c>
      <c r="F35" s="346">
        <f t="shared" si="6"/>
        <v>0</v>
      </c>
      <c r="G35" s="346">
        <v>0</v>
      </c>
      <c r="H35" s="298">
        <v>0</v>
      </c>
      <c r="I35" s="298">
        <v>0</v>
      </c>
      <c r="J35" s="298">
        <v>0</v>
      </c>
      <c r="K35" s="298">
        <v>0</v>
      </c>
      <c r="L35" s="298">
        <v>0</v>
      </c>
      <c r="M35" s="302">
        <v>0</v>
      </c>
      <c r="N35" s="298">
        <v>0</v>
      </c>
      <c r="O35" s="298">
        <v>0</v>
      </c>
      <c r="P35" s="298">
        <v>0</v>
      </c>
      <c r="Q35" s="298">
        <v>0</v>
      </c>
      <c r="R35" s="298">
        <v>0</v>
      </c>
      <c r="S35" s="383">
        <v>0</v>
      </c>
      <c r="T35" s="298">
        <v>0</v>
      </c>
      <c r="U35" s="346">
        <v>0</v>
      </c>
      <c r="V35" s="346">
        <v>0</v>
      </c>
      <c r="W35" s="346">
        <v>0</v>
      </c>
      <c r="X35" s="346">
        <v>0</v>
      </c>
      <c r="Y35" s="346">
        <v>0</v>
      </c>
      <c r="Z35" s="346">
        <v>0</v>
      </c>
      <c r="AA35" s="346">
        <v>0</v>
      </c>
      <c r="AB35" s="346">
        <v>0</v>
      </c>
      <c r="AC35" s="346">
        <v>0</v>
      </c>
      <c r="AD35" s="346">
        <v>0</v>
      </c>
      <c r="AE35" s="346" t="s">
        <v>645</v>
      </c>
      <c r="AF35" s="346" t="s">
        <v>645</v>
      </c>
      <c r="AG35" s="346">
        <v>0</v>
      </c>
      <c r="AH35" s="346">
        <v>0</v>
      </c>
      <c r="AI35" s="346" t="s">
        <v>645</v>
      </c>
      <c r="AJ35" s="346" t="s">
        <v>645</v>
      </c>
      <c r="AK35" s="346">
        <v>0</v>
      </c>
      <c r="AL35" s="346">
        <v>0</v>
      </c>
      <c r="AM35" s="346" t="s">
        <v>645</v>
      </c>
      <c r="AN35" s="346" t="s">
        <v>645</v>
      </c>
      <c r="AO35" s="346">
        <f t="shared" si="4"/>
        <v>0</v>
      </c>
      <c r="AP35" s="357">
        <f t="shared" si="5"/>
        <v>0</v>
      </c>
    </row>
    <row r="36" spans="1:42" ht="31.5" x14ac:dyDescent="0.25">
      <c r="A36" s="347" t="s">
        <v>157</v>
      </c>
      <c r="B36" s="327" t="s">
        <v>156</v>
      </c>
      <c r="C36" s="346">
        <v>0</v>
      </c>
      <c r="D36" s="346">
        <v>0</v>
      </c>
      <c r="E36" s="346">
        <v>0</v>
      </c>
      <c r="F36" s="346">
        <f t="shared" si="6"/>
        <v>0</v>
      </c>
      <c r="G36" s="346">
        <v>0</v>
      </c>
      <c r="H36" s="299">
        <v>0</v>
      </c>
      <c r="I36" s="299">
        <v>0</v>
      </c>
      <c r="J36" s="299">
        <v>0</v>
      </c>
      <c r="K36" s="299">
        <v>0</v>
      </c>
      <c r="L36" s="299">
        <v>0</v>
      </c>
      <c r="M36" s="299">
        <v>0</v>
      </c>
      <c r="N36" s="299">
        <v>0</v>
      </c>
      <c r="O36" s="299">
        <v>0</v>
      </c>
      <c r="P36" s="299">
        <v>0</v>
      </c>
      <c r="Q36" s="299">
        <v>0</v>
      </c>
      <c r="R36" s="299">
        <v>0</v>
      </c>
      <c r="S36" s="384">
        <v>0</v>
      </c>
      <c r="T36" s="299">
        <v>0</v>
      </c>
      <c r="U36" s="349">
        <v>0</v>
      </c>
      <c r="V36" s="349">
        <v>0</v>
      </c>
      <c r="W36" s="352">
        <v>0</v>
      </c>
      <c r="X36" s="349">
        <v>0</v>
      </c>
      <c r="Y36" s="349">
        <v>0</v>
      </c>
      <c r="Z36" s="349">
        <v>0</v>
      </c>
      <c r="AA36" s="349">
        <v>0</v>
      </c>
      <c r="AB36" s="349">
        <v>0</v>
      </c>
      <c r="AC36" s="349">
        <v>0</v>
      </c>
      <c r="AD36" s="349">
        <v>0</v>
      </c>
      <c r="AE36" s="346" t="s">
        <v>645</v>
      </c>
      <c r="AF36" s="346" t="s">
        <v>645</v>
      </c>
      <c r="AG36" s="349">
        <v>0</v>
      </c>
      <c r="AH36" s="349">
        <v>0</v>
      </c>
      <c r="AI36" s="346" t="s">
        <v>645</v>
      </c>
      <c r="AJ36" s="346" t="s">
        <v>645</v>
      </c>
      <c r="AK36" s="349">
        <v>0</v>
      </c>
      <c r="AL36" s="349">
        <v>0</v>
      </c>
      <c r="AM36" s="346" t="s">
        <v>645</v>
      </c>
      <c r="AN36" s="346" t="s">
        <v>645</v>
      </c>
      <c r="AO36" s="346">
        <f t="shared" si="4"/>
        <v>0</v>
      </c>
      <c r="AP36" s="357">
        <f t="shared" si="5"/>
        <v>0</v>
      </c>
    </row>
    <row r="37" spans="1:42" x14ac:dyDescent="0.25">
      <c r="A37" s="347" t="s">
        <v>155</v>
      </c>
      <c r="B37" s="327" t="s">
        <v>145</v>
      </c>
      <c r="C37" s="346">
        <v>3.06</v>
      </c>
      <c r="D37" s="346">
        <v>3.06</v>
      </c>
      <c r="E37" s="346">
        <v>0</v>
      </c>
      <c r="F37" s="346">
        <f t="shared" si="6"/>
        <v>3.06</v>
      </c>
      <c r="G37" s="346">
        <v>0</v>
      </c>
      <c r="H37" s="299">
        <v>0</v>
      </c>
      <c r="I37" s="299">
        <v>0</v>
      </c>
      <c r="J37" s="299">
        <v>0</v>
      </c>
      <c r="K37" s="299">
        <v>0</v>
      </c>
      <c r="L37" s="299">
        <v>0</v>
      </c>
      <c r="M37" s="300">
        <v>3.06</v>
      </c>
      <c r="N37" s="299">
        <v>0</v>
      </c>
      <c r="O37" s="299">
        <v>3.06</v>
      </c>
      <c r="P37" s="299">
        <v>0</v>
      </c>
      <c r="Q37" s="299">
        <v>0</v>
      </c>
      <c r="R37" s="299">
        <v>0</v>
      </c>
      <c r="S37" s="384">
        <v>0</v>
      </c>
      <c r="T37" s="299">
        <v>0</v>
      </c>
      <c r="U37" s="349">
        <v>0</v>
      </c>
      <c r="V37" s="349">
        <v>0</v>
      </c>
      <c r="W37" s="352">
        <v>0</v>
      </c>
      <c r="X37" s="349">
        <v>0</v>
      </c>
      <c r="Y37" s="349">
        <v>0</v>
      </c>
      <c r="Z37" s="349">
        <v>0</v>
      </c>
      <c r="AA37" s="349">
        <v>0</v>
      </c>
      <c r="AB37" s="349">
        <v>0</v>
      </c>
      <c r="AC37" s="349">
        <v>0</v>
      </c>
      <c r="AD37" s="349">
        <v>0</v>
      </c>
      <c r="AE37" s="346" t="s">
        <v>645</v>
      </c>
      <c r="AF37" s="346" t="s">
        <v>645</v>
      </c>
      <c r="AG37" s="349">
        <v>0</v>
      </c>
      <c r="AH37" s="349">
        <v>0</v>
      </c>
      <c r="AI37" s="346" t="s">
        <v>645</v>
      </c>
      <c r="AJ37" s="346" t="s">
        <v>645</v>
      </c>
      <c r="AK37" s="349">
        <v>0</v>
      </c>
      <c r="AL37" s="349">
        <v>0</v>
      </c>
      <c r="AM37" s="346" t="s">
        <v>645</v>
      </c>
      <c r="AN37" s="346" t="s">
        <v>645</v>
      </c>
      <c r="AO37" s="346">
        <f t="shared" si="4"/>
        <v>3.06</v>
      </c>
      <c r="AP37" s="357">
        <f t="shared" si="5"/>
        <v>3.06</v>
      </c>
    </row>
    <row r="38" spans="1:42" x14ac:dyDescent="0.25">
      <c r="A38" s="347" t="s">
        <v>154</v>
      </c>
      <c r="B38" s="327" t="s">
        <v>143</v>
      </c>
      <c r="C38" s="346">
        <v>0</v>
      </c>
      <c r="D38" s="346">
        <v>0</v>
      </c>
      <c r="E38" s="346">
        <v>0</v>
      </c>
      <c r="F38" s="346">
        <f t="shared" si="6"/>
        <v>0</v>
      </c>
      <c r="G38" s="346">
        <v>0</v>
      </c>
      <c r="H38" s="299">
        <v>0</v>
      </c>
      <c r="I38" s="299">
        <v>0</v>
      </c>
      <c r="J38" s="299">
        <v>0</v>
      </c>
      <c r="K38" s="299">
        <v>0</v>
      </c>
      <c r="L38" s="299">
        <v>0</v>
      </c>
      <c r="M38" s="299">
        <v>0</v>
      </c>
      <c r="N38" s="299">
        <v>0</v>
      </c>
      <c r="O38" s="299">
        <v>0</v>
      </c>
      <c r="P38" s="299">
        <v>0</v>
      </c>
      <c r="Q38" s="299">
        <v>0</v>
      </c>
      <c r="R38" s="299">
        <v>0</v>
      </c>
      <c r="S38" s="384">
        <v>0</v>
      </c>
      <c r="T38" s="299">
        <v>0</v>
      </c>
      <c r="U38" s="349">
        <v>0</v>
      </c>
      <c r="V38" s="349">
        <v>0</v>
      </c>
      <c r="W38" s="352">
        <v>0</v>
      </c>
      <c r="X38" s="349">
        <v>0</v>
      </c>
      <c r="Y38" s="349">
        <v>0</v>
      </c>
      <c r="Z38" s="349">
        <v>0</v>
      </c>
      <c r="AA38" s="349">
        <v>0</v>
      </c>
      <c r="AB38" s="349">
        <v>0</v>
      </c>
      <c r="AC38" s="349">
        <v>0</v>
      </c>
      <c r="AD38" s="349">
        <v>0</v>
      </c>
      <c r="AE38" s="346" t="s">
        <v>645</v>
      </c>
      <c r="AF38" s="346" t="s">
        <v>645</v>
      </c>
      <c r="AG38" s="349">
        <v>0</v>
      </c>
      <c r="AH38" s="349">
        <v>0</v>
      </c>
      <c r="AI38" s="346" t="s">
        <v>645</v>
      </c>
      <c r="AJ38" s="346" t="s">
        <v>645</v>
      </c>
      <c r="AK38" s="349">
        <v>0</v>
      </c>
      <c r="AL38" s="349">
        <v>0</v>
      </c>
      <c r="AM38" s="346" t="s">
        <v>645</v>
      </c>
      <c r="AN38" s="346" t="s">
        <v>645</v>
      </c>
      <c r="AO38" s="346">
        <f t="shared" si="4"/>
        <v>0</v>
      </c>
      <c r="AP38" s="357">
        <f t="shared" si="5"/>
        <v>0</v>
      </c>
    </row>
    <row r="39" spans="1:42" ht="31.5" x14ac:dyDescent="0.25">
      <c r="A39" s="347" t="s">
        <v>153</v>
      </c>
      <c r="B39" s="348" t="s">
        <v>141</v>
      </c>
      <c r="C39" s="346">
        <v>0</v>
      </c>
      <c r="D39" s="346">
        <v>0</v>
      </c>
      <c r="E39" s="346">
        <v>0</v>
      </c>
      <c r="F39" s="346">
        <f t="shared" si="6"/>
        <v>0</v>
      </c>
      <c r="G39" s="346">
        <v>0</v>
      </c>
      <c r="H39" s="299">
        <v>0</v>
      </c>
      <c r="I39" s="299">
        <v>0</v>
      </c>
      <c r="J39" s="299">
        <v>0</v>
      </c>
      <c r="K39" s="299">
        <v>0</v>
      </c>
      <c r="L39" s="299">
        <v>0</v>
      </c>
      <c r="M39" s="299">
        <v>0</v>
      </c>
      <c r="N39" s="299">
        <v>0</v>
      </c>
      <c r="O39" s="299">
        <v>0</v>
      </c>
      <c r="P39" s="299">
        <v>0</v>
      </c>
      <c r="Q39" s="299">
        <v>0</v>
      </c>
      <c r="R39" s="299">
        <v>0</v>
      </c>
      <c r="S39" s="384">
        <v>0</v>
      </c>
      <c r="T39" s="299">
        <v>0</v>
      </c>
      <c r="U39" s="349">
        <v>0</v>
      </c>
      <c r="V39" s="349">
        <v>0</v>
      </c>
      <c r="W39" s="349">
        <v>0</v>
      </c>
      <c r="X39" s="349">
        <v>0</v>
      </c>
      <c r="Y39" s="349">
        <v>0</v>
      </c>
      <c r="Z39" s="349">
        <v>0</v>
      </c>
      <c r="AA39" s="349">
        <v>0</v>
      </c>
      <c r="AB39" s="349">
        <v>0</v>
      </c>
      <c r="AC39" s="349">
        <v>0</v>
      </c>
      <c r="AD39" s="349">
        <v>0</v>
      </c>
      <c r="AE39" s="346" t="s">
        <v>645</v>
      </c>
      <c r="AF39" s="346" t="s">
        <v>645</v>
      </c>
      <c r="AG39" s="349">
        <v>0</v>
      </c>
      <c r="AH39" s="349">
        <v>0</v>
      </c>
      <c r="AI39" s="346" t="s">
        <v>645</v>
      </c>
      <c r="AJ39" s="346" t="s">
        <v>645</v>
      </c>
      <c r="AK39" s="349">
        <v>0</v>
      </c>
      <c r="AL39" s="349">
        <v>0</v>
      </c>
      <c r="AM39" s="346" t="s">
        <v>645</v>
      </c>
      <c r="AN39" s="346" t="s">
        <v>645</v>
      </c>
      <c r="AO39" s="346">
        <f t="shared" si="4"/>
        <v>0</v>
      </c>
      <c r="AP39" s="357">
        <f t="shared" si="5"/>
        <v>0</v>
      </c>
    </row>
    <row r="40" spans="1:42" ht="31.5" x14ac:dyDescent="0.25">
      <c r="A40" s="347" t="s">
        <v>152</v>
      </c>
      <c r="B40" s="348" t="s">
        <v>139</v>
      </c>
      <c r="C40" s="346">
        <v>0</v>
      </c>
      <c r="D40" s="346">
        <v>0</v>
      </c>
      <c r="E40" s="346">
        <v>0</v>
      </c>
      <c r="F40" s="346">
        <f t="shared" si="6"/>
        <v>0</v>
      </c>
      <c r="G40" s="346">
        <v>0</v>
      </c>
      <c r="H40" s="299">
        <v>0</v>
      </c>
      <c r="I40" s="299">
        <v>0</v>
      </c>
      <c r="J40" s="299">
        <v>0</v>
      </c>
      <c r="K40" s="299">
        <v>0</v>
      </c>
      <c r="L40" s="299">
        <v>0</v>
      </c>
      <c r="M40" s="299">
        <v>0</v>
      </c>
      <c r="N40" s="299">
        <v>0</v>
      </c>
      <c r="O40" s="299">
        <v>0</v>
      </c>
      <c r="P40" s="299">
        <v>0</v>
      </c>
      <c r="Q40" s="299">
        <v>0</v>
      </c>
      <c r="R40" s="299">
        <v>0</v>
      </c>
      <c r="S40" s="384">
        <v>0</v>
      </c>
      <c r="T40" s="299">
        <v>0</v>
      </c>
      <c r="U40" s="349">
        <v>0</v>
      </c>
      <c r="V40" s="349">
        <v>0</v>
      </c>
      <c r="W40" s="349">
        <v>0</v>
      </c>
      <c r="X40" s="349">
        <v>0</v>
      </c>
      <c r="Y40" s="349">
        <v>0</v>
      </c>
      <c r="Z40" s="349">
        <v>0</v>
      </c>
      <c r="AA40" s="349">
        <v>0</v>
      </c>
      <c r="AB40" s="349">
        <v>0</v>
      </c>
      <c r="AC40" s="349">
        <v>0</v>
      </c>
      <c r="AD40" s="349">
        <v>0</v>
      </c>
      <c r="AE40" s="346" t="s">
        <v>645</v>
      </c>
      <c r="AF40" s="346" t="s">
        <v>645</v>
      </c>
      <c r="AG40" s="349">
        <v>0</v>
      </c>
      <c r="AH40" s="349">
        <v>0</v>
      </c>
      <c r="AI40" s="346" t="s">
        <v>645</v>
      </c>
      <c r="AJ40" s="346" t="s">
        <v>645</v>
      </c>
      <c r="AK40" s="349">
        <v>0</v>
      </c>
      <c r="AL40" s="349">
        <v>0</v>
      </c>
      <c r="AM40" s="346" t="s">
        <v>645</v>
      </c>
      <c r="AN40" s="346" t="s">
        <v>645</v>
      </c>
      <c r="AO40" s="346">
        <f t="shared" si="4"/>
        <v>0</v>
      </c>
      <c r="AP40" s="357">
        <f t="shared" si="5"/>
        <v>0</v>
      </c>
    </row>
    <row r="41" spans="1:42" x14ac:dyDescent="0.25">
      <c r="A41" s="347" t="s">
        <v>151</v>
      </c>
      <c r="B41" s="348" t="s">
        <v>137</v>
      </c>
      <c r="C41" s="346">
        <v>7.43</v>
      </c>
      <c r="D41" s="346">
        <v>7.43</v>
      </c>
      <c r="E41" s="346">
        <v>0</v>
      </c>
      <c r="F41" s="346">
        <f t="shared" si="6"/>
        <v>7.43</v>
      </c>
      <c r="G41" s="346">
        <v>0</v>
      </c>
      <c r="H41" s="299">
        <v>0</v>
      </c>
      <c r="I41" s="299">
        <v>0</v>
      </c>
      <c r="J41" s="299">
        <v>0</v>
      </c>
      <c r="K41" s="299">
        <v>0</v>
      </c>
      <c r="L41" s="299">
        <v>0</v>
      </c>
      <c r="M41" s="299">
        <v>7.2</v>
      </c>
      <c r="N41" s="299">
        <v>0</v>
      </c>
      <c r="O41" s="299">
        <v>7.43</v>
      </c>
      <c r="P41" s="299">
        <v>0</v>
      </c>
      <c r="Q41" s="299">
        <v>0</v>
      </c>
      <c r="R41" s="299">
        <v>0</v>
      </c>
      <c r="S41" s="384">
        <v>0</v>
      </c>
      <c r="T41" s="299">
        <v>0</v>
      </c>
      <c r="U41" s="349">
        <v>0</v>
      </c>
      <c r="V41" s="349">
        <v>0</v>
      </c>
      <c r="W41" s="349">
        <v>0</v>
      </c>
      <c r="X41" s="349">
        <v>0</v>
      </c>
      <c r="Y41" s="349">
        <v>0</v>
      </c>
      <c r="Z41" s="349">
        <v>0</v>
      </c>
      <c r="AA41" s="349">
        <v>0</v>
      </c>
      <c r="AB41" s="349">
        <v>0</v>
      </c>
      <c r="AC41" s="349">
        <v>0</v>
      </c>
      <c r="AD41" s="349">
        <v>0</v>
      </c>
      <c r="AE41" s="346" t="s">
        <v>645</v>
      </c>
      <c r="AF41" s="346" t="s">
        <v>645</v>
      </c>
      <c r="AG41" s="349">
        <v>0</v>
      </c>
      <c r="AH41" s="349">
        <v>0</v>
      </c>
      <c r="AI41" s="346" t="s">
        <v>645</v>
      </c>
      <c r="AJ41" s="346" t="s">
        <v>645</v>
      </c>
      <c r="AK41" s="349">
        <v>0</v>
      </c>
      <c r="AL41" s="349">
        <v>0</v>
      </c>
      <c r="AM41" s="346" t="s">
        <v>645</v>
      </c>
      <c r="AN41" s="346" t="s">
        <v>645</v>
      </c>
      <c r="AO41" s="346">
        <f t="shared" si="4"/>
        <v>7.2</v>
      </c>
      <c r="AP41" s="357">
        <f t="shared" si="5"/>
        <v>7.43</v>
      </c>
    </row>
    <row r="42" spans="1:42" ht="18.75" x14ac:dyDescent="0.25">
      <c r="A42" s="347" t="s">
        <v>150</v>
      </c>
      <c r="B42" s="388" t="s">
        <v>775</v>
      </c>
      <c r="C42" s="346">
        <v>12</v>
      </c>
      <c r="D42" s="346">
        <v>12</v>
      </c>
      <c r="E42" s="346">
        <v>0</v>
      </c>
      <c r="F42" s="346">
        <f t="shared" si="6"/>
        <v>12</v>
      </c>
      <c r="G42" s="346">
        <v>0</v>
      </c>
      <c r="H42" s="299">
        <v>0</v>
      </c>
      <c r="I42" s="299">
        <v>0</v>
      </c>
      <c r="J42" s="299">
        <v>0</v>
      </c>
      <c r="K42" s="299">
        <v>0</v>
      </c>
      <c r="L42" s="299">
        <v>0</v>
      </c>
      <c r="M42" s="299">
        <v>12</v>
      </c>
      <c r="N42" s="299">
        <v>0</v>
      </c>
      <c r="O42" s="299">
        <v>12</v>
      </c>
      <c r="P42" s="299">
        <v>0</v>
      </c>
      <c r="Q42" s="299">
        <v>0</v>
      </c>
      <c r="R42" s="299">
        <v>0</v>
      </c>
      <c r="S42" s="384">
        <v>0</v>
      </c>
      <c r="T42" s="299">
        <v>0</v>
      </c>
      <c r="U42" s="349">
        <v>0</v>
      </c>
      <c r="V42" s="349">
        <v>0</v>
      </c>
      <c r="W42" s="352">
        <v>0</v>
      </c>
      <c r="X42" s="349">
        <v>0</v>
      </c>
      <c r="Y42" s="349">
        <v>0</v>
      </c>
      <c r="Z42" s="349">
        <v>0</v>
      </c>
      <c r="AA42" s="349">
        <v>0</v>
      </c>
      <c r="AB42" s="349">
        <v>0</v>
      </c>
      <c r="AC42" s="349">
        <v>0</v>
      </c>
      <c r="AD42" s="349">
        <v>0</v>
      </c>
      <c r="AE42" s="346" t="s">
        <v>645</v>
      </c>
      <c r="AF42" s="346" t="s">
        <v>645</v>
      </c>
      <c r="AG42" s="349">
        <v>0</v>
      </c>
      <c r="AH42" s="349">
        <v>0</v>
      </c>
      <c r="AI42" s="346" t="s">
        <v>645</v>
      </c>
      <c r="AJ42" s="346" t="s">
        <v>645</v>
      </c>
      <c r="AK42" s="349">
        <v>0</v>
      </c>
      <c r="AL42" s="349">
        <v>0</v>
      </c>
      <c r="AM42" s="346" t="s">
        <v>645</v>
      </c>
      <c r="AN42" s="346" t="s">
        <v>645</v>
      </c>
      <c r="AO42" s="346">
        <f t="shared" si="4"/>
        <v>12</v>
      </c>
      <c r="AP42" s="357">
        <f t="shared" si="5"/>
        <v>12</v>
      </c>
    </row>
    <row r="43" spans="1:42" s="351" customFormat="1" x14ac:dyDescent="0.25">
      <c r="A43" s="344" t="s">
        <v>59</v>
      </c>
      <c r="B43" s="345" t="s">
        <v>149</v>
      </c>
      <c r="C43" s="346">
        <v>0</v>
      </c>
      <c r="D43" s="346">
        <v>0</v>
      </c>
      <c r="E43" s="346">
        <v>0</v>
      </c>
      <c r="F43" s="346">
        <f t="shared" si="6"/>
        <v>0</v>
      </c>
      <c r="G43" s="346">
        <v>0</v>
      </c>
      <c r="H43" s="298">
        <v>0</v>
      </c>
      <c r="I43" s="298">
        <v>0</v>
      </c>
      <c r="J43" s="298">
        <v>0</v>
      </c>
      <c r="K43" s="298">
        <v>0</v>
      </c>
      <c r="L43" s="298">
        <v>0</v>
      </c>
      <c r="M43" s="302">
        <v>0</v>
      </c>
      <c r="N43" s="298">
        <v>0</v>
      </c>
      <c r="O43" s="298">
        <v>0</v>
      </c>
      <c r="P43" s="298">
        <v>0</v>
      </c>
      <c r="Q43" s="298">
        <v>0</v>
      </c>
      <c r="R43" s="298">
        <v>0</v>
      </c>
      <c r="S43" s="383">
        <v>0</v>
      </c>
      <c r="T43" s="298">
        <v>0</v>
      </c>
      <c r="U43" s="346">
        <v>0</v>
      </c>
      <c r="V43" s="346">
        <v>0</v>
      </c>
      <c r="W43" s="346">
        <v>0</v>
      </c>
      <c r="X43" s="346">
        <v>0</v>
      </c>
      <c r="Y43" s="346">
        <v>0</v>
      </c>
      <c r="Z43" s="346">
        <v>0</v>
      </c>
      <c r="AA43" s="346">
        <v>0</v>
      </c>
      <c r="AB43" s="346">
        <v>0</v>
      </c>
      <c r="AC43" s="346">
        <v>0</v>
      </c>
      <c r="AD43" s="346">
        <v>0</v>
      </c>
      <c r="AE43" s="346" t="s">
        <v>645</v>
      </c>
      <c r="AF43" s="346" t="s">
        <v>645</v>
      </c>
      <c r="AG43" s="346">
        <v>0</v>
      </c>
      <c r="AH43" s="346">
        <v>0</v>
      </c>
      <c r="AI43" s="346" t="s">
        <v>645</v>
      </c>
      <c r="AJ43" s="346" t="s">
        <v>645</v>
      </c>
      <c r="AK43" s="346">
        <v>0</v>
      </c>
      <c r="AL43" s="346">
        <v>0</v>
      </c>
      <c r="AM43" s="346" t="s">
        <v>645</v>
      </c>
      <c r="AN43" s="346" t="s">
        <v>645</v>
      </c>
      <c r="AO43" s="346">
        <f t="shared" si="4"/>
        <v>0</v>
      </c>
      <c r="AP43" s="357">
        <f t="shared" si="5"/>
        <v>0</v>
      </c>
    </row>
    <row r="44" spans="1:42" x14ac:dyDescent="0.25">
      <c r="A44" s="347" t="s">
        <v>148</v>
      </c>
      <c r="B44" s="348" t="s">
        <v>147</v>
      </c>
      <c r="C44" s="346">
        <v>0</v>
      </c>
      <c r="D44" s="346">
        <v>0</v>
      </c>
      <c r="E44" s="346">
        <v>0</v>
      </c>
      <c r="F44" s="346">
        <f t="shared" si="6"/>
        <v>0</v>
      </c>
      <c r="G44" s="346">
        <v>0</v>
      </c>
      <c r="H44" s="299">
        <v>0</v>
      </c>
      <c r="I44" s="299">
        <v>0</v>
      </c>
      <c r="J44" s="299">
        <v>0</v>
      </c>
      <c r="K44" s="299">
        <v>0</v>
      </c>
      <c r="L44" s="299">
        <v>0</v>
      </c>
      <c r="M44" s="299">
        <v>0</v>
      </c>
      <c r="N44" s="299">
        <v>0</v>
      </c>
      <c r="O44" s="299">
        <v>0</v>
      </c>
      <c r="P44" s="299">
        <v>0</v>
      </c>
      <c r="Q44" s="299">
        <v>0</v>
      </c>
      <c r="R44" s="299">
        <v>0</v>
      </c>
      <c r="S44" s="384">
        <v>0</v>
      </c>
      <c r="T44" s="299">
        <v>0</v>
      </c>
      <c r="U44" s="349">
        <v>0</v>
      </c>
      <c r="V44" s="349">
        <v>0</v>
      </c>
      <c r="W44" s="349">
        <v>0</v>
      </c>
      <c r="X44" s="349">
        <v>0</v>
      </c>
      <c r="Y44" s="349">
        <v>0</v>
      </c>
      <c r="Z44" s="349">
        <v>0</v>
      </c>
      <c r="AA44" s="349">
        <v>0</v>
      </c>
      <c r="AB44" s="349">
        <v>0</v>
      </c>
      <c r="AC44" s="349">
        <v>0</v>
      </c>
      <c r="AD44" s="349">
        <v>0</v>
      </c>
      <c r="AE44" s="346" t="s">
        <v>645</v>
      </c>
      <c r="AF44" s="346" t="s">
        <v>645</v>
      </c>
      <c r="AG44" s="349">
        <v>0</v>
      </c>
      <c r="AH44" s="349">
        <v>0</v>
      </c>
      <c r="AI44" s="346" t="s">
        <v>645</v>
      </c>
      <c r="AJ44" s="346" t="s">
        <v>645</v>
      </c>
      <c r="AK44" s="349">
        <v>0</v>
      </c>
      <c r="AL44" s="349">
        <v>0</v>
      </c>
      <c r="AM44" s="346" t="s">
        <v>645</v>
      </c>
      <c r="AN44" s="346" t="s">
        <v>645</v>
      </c>
      <c r="AO44" s="346">
        <f t="shared" si="4"/>
        <v>0</v>
      </c>
      <c r="AP44" s="357">
        <f t="shared" si="5"/>
        <v>0</v>
      </c>
    </row>
    <row r="45" spans="1:42" x14ac:dyDescent="0.25">
      <c r="A45" s="347" t="s">
        <v>146</v>
      </c>
      <c r="B45" s="348" t="s">
        <v>145</v>
      </c>
      <c r="C45" s="346">
        <v>3.06</v>
      </c>
      <c r="D45" s="346">
        <v>3.06</v>
      </c>
      <c r="E45" s="346">
        <v>0</v>
      </c>
      <c r="F45" s="346">
        <f t="shared" si="6"/>
        <v>3.06</v>
      </c>
      <c r="G45" s="346">
        <v>0</v>
      </c>
      <c r="H45" s="299">
        <v>0</v>
      </c>
      <c r="I45" s="299">
        <v>0</v>
      </c>
      <c r="J45" s="299">
        <v>0</v>
      </c>
      <c r="K45" s="299">
        <v>0</v>
      </c>
      <c r="L45" s="299">
        <v>0</v>
      </c>
      <c r="M45" s="300">
        <v>3.06</v>
      </c>
      <c r="N45" s="299">
        <v>0</v>
      </c>
      <c r="O45" s="299">
        <v>3.06</v>
      </c>
      <c r="P45" s="299">
        <v>0</v>
      </c>
      <c r="Q45" s="299">
        <v>0</v>
      </c>
      <c r="R45" s="299">
        <v>0</v>
      </c>
      <c r="S45" s="384">
        <v>0</v>
      </c>
      <c r="T45" s="299">
        <v>0</v>
      </c>
      <c r="U45" s="349">
        <v>0</v>
      </c>
      <c r="V45" s="349">
        <v>0</v>
      </c>
      <c r="W45" s="349">
        <v>0</v>
      </c>
      <c r="X45" s="349">
        <v>0</v>
      </c>
      <c r="Y45" s="349">
        <v>0</v>
      </c>
      <c r="Z45" s="349">
        <v>0</v>
      </c>
      <c r="AA45" s="349">
        <v>0</v>
      </c>
      <c r="AB45" s="349">
        <v>0</v>
      </c>
      <c r="AC45" s="349">
        <v>0</v>
      </c>
      <c r="AD45" s="349">
        <v>0</v>
      </c>
      <c r="AE45" s="346" t="s">
        <v>645</v>
      </c>
      <c r="AF45" s="346" t="s">
        <v>645</v>
      </c>
      <c r="AG45" s="349">
        <v>0</v>
      </c>
      <c r="AH45" s="349">
        <v>0</v>
      </c>
      <c r="AI45" s="346" t="s">
        <v>645</v>
      </c>
      <c r="AJ45" s="346" t="s">
        <v>645</v>
      </c>
      <c r="AK45" s="349">
        <v>0</v>
      </c>
      <c r="AL45" s="349">
        <v>0</v>
      </c>
      <c r="AM45" s="346" t="s">
        <v>645</v>
      </c>
      <c r="AN45" s="346" t="s">
        <v>645</v>
      </c>
      <c r="AO45" s="346">
        <f t="shared" si="4"/>
        <v>3.06</v>
      </c>
      <c r="AP45" s="357">
        <f t="shared" si="5"/>
        <v>3.06</v>
      </c>
    </row>
    <row r="46" spans="1:42" x14ac:dyDescent="0.25">
      <c r="A46" s="347" t="s">
        <v>144</v>
      </c>
      <c r="B46" s="348" t="s">
        <v>143</v>
      </c>
      <c r="C46" s="346">
        <v>0</v>
      </c>
      <c r="D46" s="346">
        <v>0</v>
      </c>
      <c r="E46" s="346">
        <v>0</v>
      </c>
      <c r="F46" s="346">
        <f t="shared" si="6"/>
        <v>0</v>
      </c>
      <c r="G46" s="346">
        <v>0</v>
      </c>
      <c r="H46" s="299">
        <v>0</v>
      </c>
      <c r="I46" s="299">
        <v>0</v>
      </c>
      <c r="J46" s="299">
        <v>0</v>
      </c>
      <c r="K46" s="299">
        <v>0</v>
      </c>
      <c r="L46" s="299">
        <v>0</v>
      </c>
      <c r="M46" s="299">
        <v>0</v>
      </c>
      <c r="N46" s="299">
        <v>0</v>
      </c>
      <c r="O46" s="299">
        <v>0</v>
      </c>
      <c r="P46" s="299">
        <v>0</v>
      </c>
      <c r="Q46" s="299">
        <v>0</v>
      </c>
      <c r="R46" s="299">
        <v>0</v>
      </c>
      <c r="S46" s="384">
        <v>0</v>
      </c>
      <c r="T46" s="299">
        <v>0</v>
      </c>
      <c r="U46" s="349">
        <v>0</v>
      </c>
      <c r="V46" s="349">
        <v>0</v>
      </c>
      <c r="W46" s="349">
        <v>0</v>
      </c>
      <c r="X46" s="349">
        <v>0</v>
      </c>
      <c r="Y46" s="349">
        <v>0</v>
      </c>
      <c r="Z46" s="349">
        <v>0</v>
      </c>
      <c r="AA46" s="349">
        <v>0</v>
      </c>
      <c r="AB46" s="349">
        <v>0</v>
      </c>
      <c r="AC46" s="349">
        <v>0</v>
      </c>
      <c r="AD46" s="349">
        <v>0</v>
      </c>
      <c r="AE46" s="346" t="s">
        <v>645</v>
      </c>
      <c r="AF46" s="346" t="s">
        <v>645</v>
      </c>
      <c r="AG46" s="349">
        <v>0</v>
      </c>
      <c r="AH46" s="349">
        <v>0</v>
      </c>
      <c r="AI46" s="346" t="s">
        <v>645</v>
      </c>
      <c r="AJ46" s="346" t="s">
        <v>645</v>
      </c>
      <c r="AK46" s="349">
        <v>0</v>
      </c>
      <c r="AL46" s="349">
        <v>0</v>
      </c>
      <c r="AM46" s="346" t="s">
        <v>645</v>
      </c>
      <c r="AN46" s="346" t="s">
        <v>645</v>
      </c>
      <c r="AO46" s="346">
        <f t="shared" si="4"/>
        <v>0</v>
      </c>
      <c r="AP46" s="357">
        <f t="shared" si="5"/>
        <v>0</v>
      </c>
    </row>
    <row r="47" spans="1:42" ht="31.5" x14ac:dyDescent="0.25">
      <c r="A47" s="347" t="s">
        <v>142</v>
      </c>
      <c r="B47" s="348" t="s">
        <v>141</v>
      </c>
      <c r="C47" s="346">
        <v>0</v>
      </c>
      <c r="D47" s="346">
        <v>0</v>
      </c>
      <c r="E47" s="346">
        <v>0</v>
      </c>
      <c r="F47" s="346">
        <f t="shared" si="6"/>
        <v>0</v>
      </c>
      <c r="G47" s="346">
        <v>0</v>
      </c>
      <c r="H47" s="299">
        <v>0</v>
      </c>
      <c r="I47" s="299">
        <v>0</v>
      </c>
      <c r="J47" s="299">
        <v>0</v>
      </c>
      <c r="K47" s="299">
        <v>0</v>
      </c>
      <c r="L47" s="299">
        <v>0</v>
      </c>
      <c r="M47" s="299">
        <v>0</v>
      </c>
      <c r="N47" s="299">
        <v>0</v>
      </c>
      <c r="O47" s="299">
        <v>0</v>
      </c>
      <c r="P47" s="299">
        <v>0</v>
      </c>
      <c r="Q47" s="299">
        <v>0</v>
      </c>
      <c r="R47" s="299">
        <v>0</v>
      </c>
      <c r="S47" s="384">
        <v>0</v>
      </c>
      <c r="T47" s="299">
        <v>0</v>
      </c>
      <c r="U47" s="349">
        <v>0</v>
      </c>
      <c r="V47" s="349">
        <v>0</v>
      </c>
      <c r="W47" s="349">
        <v>0</v>
      </c>
      <c r="X47" s="349">
        <v>0</v>
      </c>
      <c r="Y47" s="349">
        <v>0</v>
      </c>
      <c r="Z47" s="349">
        <v>0</v>
      </c>
      <c r="AA47" s="349">
        <v>0</v>
      </c>
      <c r="AB47" s="349">
        <v>0</v>
      </c>
      <c r="AC47" s="349">
        <v>0</v>
      </c>
      <c r="AD47" s="349">
        <v>0</v>
      </c>
      <c r="AE47" s="346" t="s">
        <v>645</v>
      </c>
      <c r="AF47" s="346" t="s">
        <v>645</v>
      </c>
      <c r="AG47" s="349">
        <v>0</v>
      </c>
      <c r="AH47" s="349">
        <v>0</v>
      </c>
      <c r="AI47" s="346" t="s">
        <v>645</v>
      </c>
      <c r="AJ47" s="346" t="s">
        <v>645</v>
      </c>
      <c r="AK47" s="349">
        <v>0</v>
      </c>
      <c r="AL47" s="349">
        <v>0</v>
      </c>
      <c r="AM47" s="346" t="s">
        <v>645</v>
      </c>
      <c r="AN47" s="346" t="s">
        <v>645</v>
      </c>
      <c r="AO47" s="346">
        <f t="shared" si="4"/>
        <v>0</v>
      </c>
      <c r="AP47" s="357">
        <f t="shared" si="5"/>
        <v>0</v>
      </c>
    </row>
    <row r="48" spans="1:42" ht="31.5" x14ac:dyDescent="0.25">
      <c r="A48" s="347" t="s">
        <v>140</v>
      </c>
      <c r="B48" s="348" t="s">
        <v>139</v>
      </c>
      <c r="C48" s="346">
        <v>0</v>
      </c>
      <c r="D48" s="346">
        <v>0</v>
      </c>
      <c r="E48" s="346">
        <v>0</v>
      </c>
      <c r="F48" s="346">
        <f t="shared" si="6"/>
        <v>0</v>
      </c>
      <c r="G48" s="346">
        <v>0</v>
      </c>
      <c r="H48" s="299">
        <v>0</v>
      </c>
      <c r="I48" s="299">
        <v>0</v>
      </c>
      <c r="J48" s="299">
        <v>0</v>
      </c>
      <c r="K48" s="299">
        <v>0</v>
      </c>
      <c r="L48" s="299">
        <v>0</v>
      </c>
      <c r="M48" s="299">
        <v>0</v>
      </c>
      <c r="N48" s="299">
        <v>0</v>
      </c>
      <c r="O48" s="299">
        <v>0</v>
      </c>
      <c r="P48" s="299">
        <v>0</v>
      </c>
      <c r="Q48" s="299">
        <v>0</v>
      </c>
      <c r="R48" s="299">
        <v>0</v>
      </c>
      <c r="S48" s="384">
        <v>0</v>
      </c>
      <c r="T48" s="299">
        <v>0</v>
      </c>
      <c r="U48" s="349">
        <v>0</v>
      </c>
      <c r="V48" s="349">
        <v>0</v>
      </c>
      <c r="W48" s="349">
        <v>0</v>
      </c>
      <c r="X48" s="349">
        <v>0</v>
      </c>
      <c r="Y48" s="349">
        <v>0</v>
      </c>
      <c r="Z48" s="349">
        <v>0</v>
      </c>
      <c r="AA48" s="349">
        <v>0</v>
      </c>
      <c r="AB48" s="349">
        <v>0</v>
      </c>
      <c r="AC48" s="349">
        <v>0</v>
      </c>
      <c r="AD48" s="349">
        <v>0</v>
      </c>
      <c r="AE48" s="346" t="s">
        <v>645</v>
      </c>
      <c r="AF48" s="346" t="s">
        <v>645</v>
      </c>
      <c r="AG48" s="349">
        <v>0</v>
      </c>
      <c r="AH48" s="349">
        <v>0</v>
      </c>
      <c r="AI48" s="346" t="s">
        <v>645</v>
      </c>
      <c r="AJ48" s="346" t="s">
        <v>645</v>
      </c>
      <c r="AK48" s="349">
        <v>0</v>
      </c>
      <c r="AL48" s="349">
        <v>0</v>
      </c>
      <c r="AM48" s="346" t="s">
        <v>645</v>
      </c>
      <c r="AN48" s="346" t="s">
        <v>645</v>
      </c>
      <c r="AO48" s="346">
        <f t="shared" si="4"/>
        <v>0</v>
      </c>
      <c r="AP48" s="357">
        <f t="shared" si="5"/>
        <v>0</v>
      </c>
    </row>
    <row r="49" spans="1:42" x14ac:dyDescent="0.25">
      <c r="A49" s="347" t="s">
        <v>138</v>
      </c>
      <c r="B49" s="348" t="s">
        <v>137</v>
      </c>
      <c r="C49" s="346">
        <v>7.43</v>
      </c>
      <c r="D49" s="346">
        <v>7.43</v>
      </c>
      <c r="E49" s="346">
        <v>0</v>
      </c>
      <c r="F49" s="346">
        <f t="shared" si="6"/>
        <v>7.43</v>
      </c>
      <c r="G49" s="346">
        <v>0</v>
      </c>
      <c r="H49" s="299">
        <v>0</v>
      </c>
      <c r="I49" s="299">
        <v>0</v>
      </c>
      <c r="J49" s="299">
        <v>0</v>
      </c>
      <c r="K49" s="299">
        <v>0</v>
      </c>
      <c r="L49" s="299">
        <v>0</v>
      </c>
      <c r="M49" s="299">
        <v>7.2</v>
      </c>
      <c r="N49" s="299">
        <v>0</v>
      </c>
      <c r="O49" s="299">
        <v>7.43</v>
      </c>
      <c r="P49" s="299">
        <v>0</v>
      </c>
      <c r="Q49" s="299">
        <v>0</v>
      </c>
      <c r="R49" s="299">
        <v>0</v>
      </c>
      <c r="S49" s="384">
        <v>0</v>
      </c>
      <c r="T49" s="299">
        <v>0</v>
      </c>
      <c r="U49" s="349">
        <v>0</v>
      </c>
      <c r="V49" s="349">
        <v>0</v>
      </c>
      <c r="W49" s="349">
        <v>0</v>
      </c>
      <c r="X49" s="349">
        <v>0</v>
      </c>
      <c r="Y49" s="349">
        <v>0</v>
      </c>
      <c r="Z49" s="349">
        <v>0</v>
      </c>
      <c r="AA49" s="349">
        <v>0</v>
      </c>
      <c r="AB49" s="349">
        <v>0</v>
      </c>
      <c r="AC49" s="349">
        <v>0</v>
      </c>
      <c r="AD49" s="349">
        <v>0</v>
      </c>
      <c r="AE49" s="346" t="s">
        <v>645</v>
      </c>
      <c r="AF49" s="346" t="s">
        <v>645</v>
      </c>
      <c r="AG49" s="349">
        <v>0</v>
      </c>
      <c r="AH49" s="349">
        <v>0</v>
      </c>
      <c r="AI49" s="346" t="s">
        <v>645</v>
      </c>
      <c r="AJ49" s="346" t="s">
        <v>645</v>
      </c>
      <c r="AK49" s="349">
        <v>0</v>
      </c>
      <c r="AL49" s="349">
        <v>0</v>
      </c>
      <c r="AM49" s="346" t="s">
        <v>645</v>
      </c>
      <c r="AN49" s="346" t="s">
        <v>645</v>
      </c>
      <c r="AO49" s="346">
        <f t="shared" si="4"/>
        <v>7.2</v>
      </c>
      <c r="AP49" s="357">
        <f t="shared" si="5"/>
        <v>7.43</v>
      </c>
    </row>
    <row r="50" spans="1:42" ht="18.75" x14ac:dyDescent="0.25">
      <c r="A50" s="347" t="s">
        <v>136</v>
      </c>
      <c r="B50" s="388" t="s">
        <v>775</v>
      </c>
      <c r="C50" s="346">
        <v>12</v>
      </c>
      <c r="D50" s="346">
        <v>12</v>
      </c>
      <c r="E50" s="346">
        <v>0</v>
      </c>
      <c r="F50" s="346">
        <f t="shared" si="6"/>
        <v>12</v>
      </c>
      <c r="G50" s="346">
        <v>0</v>
      </c>
      <c r="H50" s="299">
        <v>0</v>
      </c>
      <c r="I50" s="299">
        <v>0</v>
      </c>
      <c r="J50" s="299">
        <v>0</v>
      </c>
      <c r="K50" s="299">
        <v>0</v>
      </c>
      <c r="L50" s="299">
        <v>0</v>
      </c>
      <c r="M50" s="299">
        <v>12</v>
      </c>
      <c r="N50" s="299">
        <v>0</v>
      </c>
      <c r="O50" s="299">
        <v>12</v>
      </c>
      <c r="P50" s="299">
        <v>0</v>
      </c>
      <c r="Q50" s="299">
        <v>0</v>
      </c>
      <c r="R50" s="299">
        <v>0</v>
      </c>
      <c r="S50" s="384">
        <v>0</v>
      </c>
      <c r="T50" s="299">
        <v>0</v>
      </c>
      <c r="U50" s="349">
        <v>0</v>
      </c>
      <c r="V50" s="349">
        <v>0</v>
      </c>
      <c r="W50" s="352">
        <v>0</v>
      </c>
      <c r="X50" s="349">
        <v>0</v>
      </c>
      <c r="Y50" s="349">
        <v>0</v>
      </c>
      <c r="Z50" s="349">
        <v>0</v>
      </c>
      <c r="AA50" s="349">
        <v>0</v>
      </c>
      <c r="AB50" s="349">
        <v>0</v>
      </c>
      <c r="AC50" s="349">
        <v>0</v>
      </c>
      <c r="AD50" s="349">
        <v>0</v>
      </c>
      <c r="AE50" s="346" t="s">
        <v>645</v>
      </c>
      <c r="AF50" s="346" t="s">
        <v>645</v>
      </c>
      <c r="AG50" s="349">
        <v>0</v>
      </c>
      <c r="AH50" s="349">
        <v>0</v>
      </c>
      <c r="AI50" s="346" t="s">
        <v>645</v>
      </c>
      <c r="AJ50" s="346" t="s">
        <v>645</v>
      </c>
      <c r="AK50" s="349">
        <v>0</v>
      </c>
      <c r="AL50" s="349">
        <v>0</v>
      </c>
      <c r="AM50" s="346" t="s">
        <v>645</v>
      </c>
      <c r="AN50" s="346" t="s">
        <v>645</v>
      </c>
      <c r="AO50" s="346">
        <f t="shared" si="4"/>
        <v>12</v>
      </c>
      <c r="AP50" s="357">
        <f t="shared" si="5"/>
        <v>12</v>
      </c>
    </row>
    <row r="51" spans="1:42" s="351" customFormat="1" ht="35.25" customHeight="1" x14ac:dyDescent="0.25">
      <c r="A51" s="344" t="s">
        <v>57</v>
      </c>
      <c r="B51" s="345" t="s">
        <v>135</v>
      </c>
      <c r="C51" s="346">
        <v>0</v>
      </c>
      <c r="D51" s="346">
        <v>0</v>
      </c>
      <c r="E51" s="346">
        <v>0</v>
      </c>
      <c r="F51" s="346">
        <f t="shared" si="6"/>
        <v>0</v>
      </c>
      <c r="G51" s="346">
        <v>0</v>
      </c>
      <c r="H51" s="298">
        <v>0</v>
      </c>
      <c r="I51" s="298">
        <v>0</v>
      </c>
      <c r="J51" s="298">
        <v>0</v>
      </c>
      <c r="K51" s="298">
        <v>0</v>
      </c>
      <c r="L51" s="298">
        <v>0</v>
      </c>
      <c r="M51" s="302">
        <v>0</v>
      </c>
      <c r="N51" s="298">
        <v>0</v>
      </c>
      <c r="O51" s="298">
        <v>0</v>
      </c>
      <c r="P51" s="298">
        <v>0</v>
      </c>
      <c r="Q51" s="298">
        <v>0</v>
      </c>
      <c r="R51" s="298">
        <v>0</v>
      </c>
      <c r="S51" s="383">
        <v>0</v>
      </c>
      <c r="T51" s="298">
        <v>0</v>
      </c>
      <c r="U51" s="346">
        <v>0</v>
      </c>
      <c r="V51" s="346">
        <v>0</v>
      </c>
      <c r="W51" s="346">
        <v>0</v>
      </c>
      <c r="X51" s="346">
        <v>0</v>
      </c>
      <c r="Y51" s="346">
        <v>0</v>
      </c>
      <c r="Z51" s="346">
        <v>0</v>
      </c>
      <c r="AA51" s="346">
        <v>0</v>
      </c>
      <c r="AB51" s="346">
        <v>0</v>
      </c>
      <c r="AC51" s="346">
        <v>0</v>
      </c>
      <c r="AD51" s="346">
        <v>0</v>
      </c>
      <c r="AE51" s="346" t="s">
        <v>645</v>
      </c>
      <c r="AF51" s="346" t="s">
        <v>645</v>
      </c>
      <c r="AG51" s="346">
        <v>0</v>
      </c>
      <c r="AH51" s="346">
        <v>0</v>
      </c>
      <c r="AI51" s="346" t="s">
        <v>645</v>
      </c>
      <c r="AJ51" s="346" t="s">
        <v>645</v>
      </c>
      <c r="AK51" s="346">
        <v>0</v>
      </c>
      <c r="AL51" s="346">
        <v>0</v>
      </c>
      <c r="AM51" s="346" t="s">
        <v>645</v>
      </c>
      <c r="AN51" s="346" t="s">
        <v>645</v>
      </c>
      <c r="AO51" s="346">
        <f t="shared" si="4"/>
        <v>0</v>
      </c>
      <c r="AP51" s="357">
        <f t="shared" si="5"/>
        <v>0</v>
      </c>
    </row>
    <row r="52" spans="1:42" x14ac:dyDescent="0.25">
      <c r="A52" s="347" t="s">
        <v>134</v>
      </c>
      <c r="B52" s="348" t="s">
        <v>133</v>
      </c>
      <c r="C52" s="346">
        <v>99.177313789999999</v>
      </c>
      <c r="D52" s="346">
        <v>99.177313789999999</v>
      </c>
      <c r="E52" s="346">
        <v>0</v>
      </c>
      <c r="F52" s="346">
        <f t="shared" si="6"/>
        <v>99.177313789999999</v>
      </c>
      <c r="G52" s="346">
        <v>0</v>
      </c>
      <c r="H52" s="299">
        <v>0</v>
      </c>
      <c r="I52" s="299">
        <v>0</v>
      </c>
      <c r="J52" s="299">
        <v>0</v>
      </c>
      <c r="K52" s="299">
        <v>0</v>
      </c>
      <c r="L52" s="299">
        <v>0</v>
      </c>
      <c r="M52" s="299">
        <v>94.035250972374584</v>
      </c>
      <c r="N52" s="299">
        <v>0</v>
      </c>
      <c r="O52" s="299">
        <f>D52</f>
        <v>99.177313789999999</v>
      </c>
      <c r="P52" s="299">
        <v>0</v>
      </c>
      <c r="Q52" s="299">
        <v>0</v>
      </c>
      <c r="R52" s="299">
        <v>0</v>
      </c>
      <c r="S52" s="384">
        <v>0</v>
      </c>
      <c r="T52" s="299">
        <v>0</v>
      </c>
      <c r="U52" s="349">
        <v>0</v>
      </c>
      <c r="V52" s="349">
        <v>0</v>
      </c>
      <c r="W52" s="349">
        <v>0</v>
      </c>
      <c r="X52" s="349">
        <v>0</v>
      </c>
      <c r="Y52" s="349">
        <v>0</v>
      </c>
      <c r="Z52" s="349">
        <v>0</v>
      </c>
      <c r="AA52" s="349">
        <v>0</v>
      </c>
      <c r="AB52" s="349">
        <v>0</v>
      </c>
      <c r="AC52" s="349">
        <v>0</v>
      </c>
      <c r="AD52" s="349">
        <v>0</v>
      </c>
      <c r="AE52" s="346" t="s">
        <v>645</v>
      </c>
      <c r="AF52" s="346" t="s">
        <v>645</v>
      </c>
      <c r="AG52" s="349">
        <v>0</v>
      </c>
      <c r="AH52" s="349">
        <v>0</v>
      </c>
      <c r="AI52" s="346" t="s">
        <v>645</v>
      </c>
      <c r="AJ52" s="346" t="s">
        <v>645</v>
      </c>
      <c r="AK52" s="349">
        <v>0</v>
      </c>
      <c r="AL52" s="349">
        <v>0</v>
      </c>
      <c r="AM52" s="346" t="s">
        <v>645</v>
      </c>
      <c r="AN52" s="346" t="s">
        <v>645</v>
      </c>
      <c r="AO52" s="346">
        <f t="shared" si="4"/>
        <v>94.035250972374584</v>
      </c>
      <c r="AP52" s="357">
        <f t="shared" si="5"/>
        <v>99.177313789999999</v>
      </c>
    </row>
    <row r="53" spans="1:42" x14ac:dyDescent="0.25">
      <c r="A53" s="347" t="s">
        <v>132</v>
      </c>
      <c r="B53" s="348" t="s">
        <v>126</v>
      </c>
      <c r="C53" s="346">
        <v>0</v>
      </c>
      <c r="D53" s="346">
        <v>0</v>
      </c>
      <c r="E53" s="346">
        <v>0</v>
      </c>
      <c r="F53" s="346">
        <f t="shared" si="6"/>
        <v>0</v>
      </c>
      <c r="G53" s="346">
        <v>0</v>
      </c>
      <c r="H53" s="299">
        <v>0</v>
      </c>
      <c r="I53" s="299">
        <v>0</v>
      </c>
      <c r="J53" s="299">
        <v>0</v>
      </c>
      <c r="K53" s="299">
        <v>0</v>
      </c>
      <c r="L53" s="299">
        <v>0</v>
      </c>
      <c r="M53" s="300">
        <v>0</v>
      </c>
      <c r="N53" s="299">
        <v>0</v>
      </c>
      <c r="O53" s="299">
        <v>0</v>
      </c>
      <c r="P53" s="299">
        <v>0</v>
      </c>
      <c r="Q53" s="299">
        <v>0</v>
      </c>
      <c r="R53" s="299">
        <v>0</v>
      </c>
      <c r="S53" s="384">
        <v>0</v>
      </c>
      <c r="T53" s="299">
        <v>0</v>
      </c>
      <c r="U53" s="349">
        <v>0</v>
      </c>
      <c r="V53" s="349">
        <v>0</v>
      </c>
      <c r="W53" s="349">
        <v>0</v>
      </c>
      <c r="X53" s="349">
        <v>0</v>
      </c>
      <c r="Y53" s="349">
        <v>0</v>
      </c>
      <c r="Z53" s="349">
        <v>0</v>
      </c>
      <c r="AA53" s="349">
        <v>0</v>
      </c>
      <c r="AB53" s="349">
        <v>0</v>
      </c>
      <c r="AC53" s="349">
        <v>0</v>
      </c>
      <c r="AD53" s="349">
        <v>0</v>
      </c>
      <c r="AE53" s="346" t="s">
        <v>645</v>
      </c>
      <c r="AF53" s="346" t="s">
        <v>645</v>
      </c>
      <c r="AG53" s="349">
        <v>0</v>
      </c>
      <c r="AH53" s="349">
        <v>0</v>
      </c>
      <c r="AI53" s="346" t="s">
        <v>645</v>
      </c>
      <c r="AJ53" s="346" t="s">
        <v>645</v>
      </c>
      <c r="AK53" s="349">
        <v>0</v>
      </c>
      <c r="AL53" s="349">
        <v>0</v>
      </c>
      <c r="AM53" s="346" t="s">
        <v>645</v>
      </c>
      <c r="AN53" s="346" t="s">
        <v>645</v>
      </c>
      <c r="AO53" s="346">
        <f t="shared" si="4"/>
        <v>0</v>
      </c>
      <c r="AP53" s="357">
        <f t="shared" si="5"/>
        <v>0</v>
      </c>
    </row>
    <row r="54" spans="1:42" x14ac:dyDescent="0.25">
      <c r="A54" s="347" t="s">
        <v>131</v>
      </c>
      <c r="B54" s="327" t="s">
        <v>125</v>
      </c>
      <c r="C54" s="346">
        <v>3.06</v>
      </c>
      <c r="D54" s="346">
        <v>3.06</v>
      </c>
      <c r="E54" s="346">
        <v>0</v>
      </c>
      <c r="F54" s="346">
        <f t="shared" si="6"/>
        <v>3.06</v>
      </c>
      <c r="G54" s="346">
        <v>0</v>
      </c>
      <c r="H54" s="299">
        <v>0</v>
      </c>
      <c r="I54" s="299">
        <v>0</v>
      </c>
      <c r="J54" s="299">
        <v>0</v>
      </c>
      <c r="K54" s="299">
        <v>0</v>
      </c>
      <c r="L54" s="299">
        <v>0</v>
      </c>
      <c r="M54" s="299">
        <v>3.06</v>
      </c>
      <c r="N54" s="299">
        <v>0</v>
      </c>
      <c r="O54" s="299">
        <v>3.06</v>
      </c>
      <c r="P54" s="299">
        <v>0</v>
      </c>
      <c r="Q54" s="299">
        <v>0</v>
      </c>
      <c r="R54" s="299">
        <v>0</v>
      </c>
      <c r="S54" s="384">
        <v>0</v>
      </c>
      <c r="T54" s="299">
        <v>0</v>
      </c>
      <c r="U54" s="349">
        <v>0</v>
      </c>
      <c r="V54" s="349">
        <v>0</v>
      </c>
      <c r="W54" s="352">
        <v>0</v>
      </c>
      <c r="X54" s="349">
        <v>0</v>
      </c>
      <c r="Y54" s="349">
        <v>0</v>
      </c>
      <c r="Z54" s="349">
        <v>0</v>
      </c>
      <c r="AA54" s="349">
        <v>0</v>
      </c>
      <c r="AB54" s="349">
        <v>0</v>
      </c>
      <c r="AC54" s="349">
        <v>0</v>
      </c>
      <c r="AD54" s="349">
        <v>0</v>
      </c>
      <c r="AE54" s="346" t="s">
        <v>645</v>
      </c>
      <c r="AF54" s="346" t="s">
        <v>645</v>
      </c>
      <c r="AG54" s="349">
        <v>0</v>
      </c>
      <c r="AH54" s="349">
        <v>0</v>
      </c>
      <c r="AI54" s="346" t="s">
        <v>645</v>
      </c>
      <c r="AJ54" s="346" t="s">
        <v>645</v>
      </c>
      <c r="AK54" s="349">
        <v>0</v>
      </c>
      <c r="AL54" s="349">
        <v>0</v>
      </c>
      <c r="AM54" s="346" t="s">
        <v>645</v>
      </c>
      <c r="AN54" s="346" t="s">
        <v>645</v>
      </c>
      <c r="AO54" s="346">
        <f t="shared" si="4"/>
        <v>3.06</v>
      </c>
      <c r="AP54" s="357">
        <f t="shared" si="5"/>
        <v>3.06</v>
      </c>
    </row>
    <row r="55" spans="1:42" x14ac:dyDescent="0.25">
      <c r="A55" s="347" t="s">
        <v>130</v>
      </c>
      <c r="B55" s="327" t="s">
        <v>124</v>
      </c>
      <c r="C55" s="346">
        <v>0</v>
      </c>
      <c r="D55" s="346">
        <v>0</v>
      </c>
      <c r="E55" s="346">
        <v>0</v>
      </c>
      <c r="F55" s="346">
        <f t="shared" si="6"/>
        <v>0</v>
      </c>
      <c r="G55" s="346">
        <v>0</v>
      </c>
      <c r="H55" s="299">
        <v>0</v>
      </c>
      <c r="I55" s="299">
        <v>0</v>
      </c>
      <c r="J55" s="299">
        <v>0</v>
      </c>
      <c r="K55" s="299">
        <v>0</v>
      </c>
      <c r="L55" s="299">
        <v>0</v>
      </c>
      <c r="M55" s="299">
        <v>0</v>
      </c>
      <c r="N55" s="299">
        <v>0</v>
      </c>
      <c r="O55" s="299">
        <v>0</v>
      </c>
      <c r="P55" s="299">
        <v>0</v>
      </c>
      <c r="Q55" s="299">
        <v>0</v>
      </c>
      <c r="R55" s="299">
        <v>0</v>
      </c>
      <c r="S55" s="384">
        <v>0</v>
      </c>
      <c r="T55" s="299">
        <v>0</v>
      </c>
      <c r="U55" s="349">
        <v>0</v>
      </c>
      <c r="V55" s="349">
        <v>0</v>
      </c>
      <c r="W55" s="352">
        <v>0</v>
      </c>
      <c r="X55" s="349">
        <v>0</v>
      </c>
      <c r="Y55" s="349">
        <v>0</v>
      </c>
      <c r="Z55" s="349">
        <v>0</v>
      </c>
      <c r="AA55" s="349">
        <v>0</v>
      </c>
      <c r="AB55" s="349">
        <v>0</v>
      </c>
      <c r="AC55" s="349">
        <v>0</v>
      </c>
      <c r="AD55" s="349">
        <v>0</v>
      </c>
      <c r="AE55" s="346" t="s">
        <v>645</v>
      </c>
      <c r="AF55" s="346" t="s">
        <v>645</v>
      </c>
      <c r="AG55" s="349">
        <v>0</v>
      </c>
      <c r="AH55" s="349">
        <v>0</v>
      </c>
      <c r="AI55" s="346" t="s">
        <v>645</v>
      </c>
      <c r="AJ55" s="346" t="s">
        <v>645</v>
      </c>
      <c r="AK55" s="349">
        <v>0</v>
      </c>
      <c r="AL55" s="349">
        <v>0</v>
      </c>
      <c r="AM55" s="346" t="s">
        <v>645</v>
      </c>
      <c r="AN55" s="346" t="s">
        <v>645</v>
      </c>
      <c r="AO55" s="346">
        <f t="shared" si="4"/>
        <v>0</v>
      </c>
      <c r="AP55" s="357">
        <f t="shared" si="5"/>
        <v>0</v>
      </c>
    </row>
    <row r="56" spans="1:42" x14ac:dyDescent="0.25">
      <c r="A56" s="347" t="s">
        <v>129</v>
      </c>
      <c r="B56" s="327" t="s">
        <v>123</v>
      </c>
      <c r="C56" s="346">
        <v>7.43</v>
      </c>
      <c r="D56" s="346">
        <v>7.43</v>
      </c>
      <c r="E56" s="346">
        <v>0</v>
      </c>
      <c r="F56" s="346">
        <f t="shared" si="6"/>
        <v>7.43</v>
      </c>
      <c r="G56" s="346">
        <v>0</v>
      </c>
      <c r="H56" s="299">
        <v>0</v>
      </c>
      <c r="I56" s="299">
        <v>0</v>
      </c>
      <c r="J56" s="299">
        <v>0</v>
      </c>
      <c r="K56" s="299">
        <v>0</v>
      </c>
      <c r="L56" s="299">
        <v>0</v>
      </c>
      <c r="M56" s="299">
        <v>7.2</v>
      </c>
      <c r="N56" s="299">
        <v>0</v>
      </c>
      <c r="O56" s="299">
        <v>7.43</v>
      </c>
      <c r="P56" s="299">
        <v>0</v>
      </c>
      <c r="Q56" s="299">
        <v>0</v>
      </c>
      <c r="R56" s="299">
        <v>0</v>
      </c>
      <c r="S56" s="384">
        <v>0</v>
      </c>
      <c r="T56" s="299">
        <v>0</v>
      </c>
      <c r="U56" s="349">
        <v>0</v>
      </c>
      <c r="V56" s="349">
        <v>0</v>
      </c>
      <c r="W56" s="352">
        <v>0</v>
      </c>
      <c r="X56" s="349">
        <v>0</v>
      </c>
      <c r="Y56" s="349">
        <v>0</v>
      </c>
      <c r="Z56" s="349">
        <v>0</v>
      </c>
      <c r="AA56" s="349">
        <v>0</v>
      </c>
      <c r="AB56" s="349">
        <v>0</v>
      </c>
      <c r="AC56" s="349">
        <v>0</v>
      </c>
      <c r="AD56" s="349">
        <v>0</v>
      </c>
      <c r="AE56" s="346" t="s">
        <v>645</v>
      </c>
      <c r="AF56" s="346" t="s">
        <v>645</v>
      </c>
      <c r="AG56" s="349">
        <v>0</v>
      </c>
      <c r="AH56" s="349">
        <v>0</v>
      </c>
      <c r="AI56" s="346" t="s">
        <v>645</v>
      </c>
      <c r="AJ56" s="346" t="s">
        <v>645</v>
      </c>
      <c r="AK56" s="349">
        <v>0</v>
      </c>
      <c r="AL56" s="349">
        <v>0</v>
      </c>
      <c r="AM56" s="346" t="s">
        <v>645</v>
      </c>
      <c r="AN56" s="346" t="s">
        <v>645</v>
      </c>
      <c r="AO56" s="346">
        <f t="shared" si="4"/>
        <v>7.2</v>
      </c>
      <c r="AP56" s="357">
        <f t="shared" si="5"/>
        <v>7.43</v>
      </c>
    </row>
    <row r="57" spans="1:42" ht="18.75" x14ac:dyDescent="0.25">
      <c r="A57" s="347" t="s">
        <v>128</v>
      </c>
      <c r="B57" s="388" t="s">
        <v>775</v>
      </c>
      <c r="C57" s="346">
        <v>12</v>
      </c>
      <c r="D57" s="346">
        <v>12</v>
      </c>
      <c r="E57" s="346">
        <v>0</v>
      </c>
      <c r="F57" s="346">
        <f t="shared" si="6"/>
        <v>12</v>
      </c>
      <c r="G57" s="346">
        <v>0</v>
      </c>
      <c r="H57" s="299">
        <v>0</v>
      </c>
      <c r="I57" s="299">
        <v>0</v>
      </c>
      <c r="J57" s="299">
        <v>0</v>
      </c>
      <c r="K57" s="299">
        <v>0</v>
      </c>
      <c r="L57" s="299">
        <v>0</v>
      </c>
      <c r="M57" s="299">
        <v>12</v>
      </c>
      <c r="N57" s="299">
        <v>0</v>
      </c>
      <c r="O57" s="299">
        <v>12</v>
      </c>
      <c r="P57" s="299">
        <v>0</v>
      </c>
      <c r="Q57" s="299">
        <v>0</v>
      </c>
      <c r="R57" s="299">
        <v>0</v>
      </c>
      <c r="S57" s="384">
        <v>0</v>
      </c>
      <c r="T57" s="299">
        <v>0</v>
      </c>
      <c r="U57" s="349">
        <v>0</v>
      </c>
      <c r="V57" s="349">
        <v>0</v>
      </c>
      <c r="W57" s="352">
        <v>0</v>
      </c>
      <c r="X57" s="349">
        <v>0</v>
      </c>
      <c r="Y57" s="349">
        <v>0</v>
      </c>
      <c r="Z57" s="349">
        <v>0</v>
      </c>
      <c r="AA57" s="349">
        <v>0</v>
      </c>
      <c r="AB57" s="349">
        <v>0</v>
      </c>
      <c r="AC57" s="349">
        <v>0</v>
      </c>
      <c r="AD57" s="349">
        <v>0</v>
      </c>
      <c r="AE57" s="346" t="s">
        <v>645</v>
      </c>
      <c r="AF57" s="346" t="s">
        <v>645</v>
      </c>
      <c r="AG57" s="349">
        <v>0</v>
      </c>
      <c r="AH57" s="349">
        <v>0</v>
      </c>
      <c r="AI57" s="346" t="s">
        <v>645</v>
      </c>
      <c r="AJ57" s="346" t="s">
        <v>645</v>
      </c>
      <c r="AK57" s="349">
        <v>0</v>
      </c>
      <c r="AL57" s="349">
        <v>0</v>
      </c>
      <c r="AM57" s="346" t="s">
        <v>645</v>
      </c>
      <c r="AN57" s="346" t="s">
        <v>645</v>
      </c>
      <c r="AO57" s="346">
        <f t="shared" si="4"/>
        <v>12</v>
      </c>
      <c r="AP57" s="357">
        <f t="shared" si="5"/>
        <v>12</v>
      </c>
    </row>
    <row r="58" spans="1:42" s="351" customFormat="1" ht="36.75" customHeight="1" x14ac:dyDescent="0.25">
      <c r="A58" s="344" t="s">
        <v>56</v>
      </c>
      <c r="B58" s="353" t="s">
        <v>225</v>
      </c>
      <c r="C58" s="346">
        <v>0</v>
      </c>
      <c r="D58" s="346">
        <v>0</v>
      </c>
      <c r="E58" s="346">
        <v>0</v>
      </c>
      <c r="F58" s="346">
        <f t="shared" si="6"/>
        <v>0</v>
      </c>
      <c r="G58" s="346">
        <v>0</v>
      </c>
      <c r="H58" s="298">
        <v>0</v>
      </c>
      <c r="I58" s="298">
        <v>0</v>
      </c>
      <c r="J58" s="298">
        <v>0</v>
      </c>
      <c r="K58" s="298">
        <v>0</v>
      </c>
      <c r="L58" s="298">
        <v>0</v>
      </c>
      <c r="M58" s="302">
        <v>0</v>
      </c>
      <c r="N58" s="298">
        <v>0</v>
      </c>
      <c r="O58" s="298">
        <v>0</v>
      </c>
      <c r="P58" s="298">
        <v>0</v>
      </c>
      <c r="Q58" s="298">
        <v>0</v>
      </c>
      <c r="R58" s="298">
        <v>0</v>
      </c>
      <c r="S58" s="383">
        <v>0</v>
      </c>
      <c r="T58" s="298">
        <v>0</v>
      </c>
      <c r="U58" s="346">
        <v>0</v>
      </c>
      <c r="V58" s="346">
        <v>0</v>
      </c>
      <c r="W58" s="354">
        <v>0</v>
      </c>
      <c r="X58" s="346">
        <v>0</v>
      </c>
      <c r="Y58" s="346">
        <v>0</v>
      </c>
      <c r="Z58" s="346">
        <v>0</v>
      </c>
      <c r="AA58" s="346">
        <v>0</v>
      </c>
      <c r="AB58" s="346">
        <v>0</v>
      </c>
      <c r="AC58" s="346">
        <v>0</v>
      </c>
      <c r="AD58" s="346">
        <v>0</v>
      </c>
      <c r="AE58" s="346" t="s">
        <v>645</v>
      </c>
      <c r="AF58" s="346" t="s">
        <v>645</v>
      </c>
      <c r="AG58" s="346">
        <v>0</v>
      </c>
      <c r="AH58" s="346">
        <v>0</v>
      </c>
      <c r="AI58" s="346" t="s">
        <v>645</v>
      </c>
      <c r="AJ58" s="346" t="s">
        <v>645</v>
      </c>
      <c r="AK58" s="346">
        <v>0</v>
      </c>
      <c r="AL58" s="346">
        <v>0</v>
      </c>
      <c r="AM58" s="346" t="s">
        <v>645</v>
      </c>
      <c r="AN58" s="346" t="s">
        <v>645</v>
      </c>
      <c r="AO58" s="346">
        <f t="shared" si="4"/>
        <v>0</v>
      </c>
      <c r="AP58" s="357">
        <f t="shared" si="5"/>
        <v>0</v>
      </c>
    </row>
    <row r="59" spans="1:42" s="351" customFormat="1" x14ac:dyDescent="0.25">
      <c r="A59" s="344" t="s">
        <v>54</v>
      </c>
      <c r="B59" s="345" t="s">
        <v>127</v>
      </c>
      <c r="C59" s="346">
        <v>0</v>
      </c>
      <c r="D59" s="346">
        <v>0</v>
      </c>
      <c r="E59" s="346">
        <v>0</v>
      </c>
      <c r="F59" s="346">
        <f t="shared" si="6"/>
        <v>0</v>
      </c>
      <c r="G59" s="346">
        <v>0</v>
      </c>
      <c r="H59" s="298">
        <v>0</v>
      </c>
      <c r="I59" s="298">
        <v>0</v>
      </c>
      <c r="J59" s="298">
        <v>0</v>
      </c>
      <c r="K59" s="298">
        <v>0</v>
      </c>
      <c r="L59" s="298">
        <v>0</v>
      </c>
      <c r="M59" s="302">
        <v>0</v>
      </c>
      <c r="N59" s="298">
        <v>0</v>
      </c>
      <c r="O59" s="298">
        <v>0</v>
      </c>
      <c r="P59" s="298">
        <v>0</v>
      </c>
      <c r="Q59" s="298">
        <v>0</v>
      </c>
      <c r="R59" s="298">
        <v>0</v>
      </c>
      <c r="S59" s="383">
        <v>0</v>
      </c>
      <c r="T59" s="298">
        <v>0</v>
      </c>
      <c r="U59" s="346">
        <v>0</v>
      </c>
      <c r="V59" s="346">
        <v>0</v>
      </c>
      <c r="W59" s="346">
        <v>0</v>
      </c>
      <c r="X59" s="346">
        <v>0</v>
      </c>
      <c r="Y59" s="346">
        <v>0</v>
      </c>
      <c r="Z59" s="346">
        <v>0</v>
      </c>
      <c r="AA59" s="346">
        <v>0</v>
      </c>
      <c r="AB59" s="346">
        <v>0</v>
      </c>
      <c r="AC59" s="346">
        <v>0</v>
      </c>
      <c r="AD59" s="346">
        <v>0</v>
      </c>
      <c r="AE59" s="346" t="s">
        <v>645</v>
      </c>
      <c r="AF59" s="346" t="s">
        <v>645</v>
      </c>
      <c r="AG59" s="346">
        <v>0</v>
      </c>
      <c r="AH59" s="346">
        <v>0</v>
      </c>
      <c r="AI59" s="346" t="s">
        <v>645</v>
      </c>
      <c r="AJ59" s="346" t="s">
        <v>645</v>
      </c>
      <c r="AK59" s="346">
        <v>0</v>
      </c>
      <c r="AL59" s="346">
        <v>0</v>
      </c>
      <c r="AM59" s="346" t="s">
        <v>645</v>
      </c>
      <c r="AN59" s="346" t="s">
        <v>645</v>
      </c>
      <c r="AO59" s="346">
        <f t="shared" si="4"/>
        <v>0</v>
      </c>
      <c r="AP59" s="357">
        <f t="shared" si="5"/>
        <v>0</v>
      </c>
    </row>
    <row r="60" spans="1:42" x14ac:dyDescent="0.25">
      <c r="A60" s="347" t="s">
        <v>219</v>
      </c>
      <c r="B60" s="355" t="s">
        <v>147</v>
      </c>
      <c r="C60" s="346">
        <v>0</v>
      </c>
      <c r="D60" s="346">
        <v>0</v>
      </c>
      <c r="E60" s="346">
        <v>0</v>
      </c>
      <c r="F60" s="346">
        <f t="shared" si="6"/>
        <v>0</v>
      </c>
      <c r="G60" s="346">
        <v>0</v>
      </c>
      <c r="H60" s="299">
        <v>0</v>
      </c>
      <c r="I60" s="299">
        <v>0</v>
      </c>
      <c r="J60" s="299">
        <v>0</v>
      </c>
      <c r="K60" s="299">
        <v>0</v>
      </c>
      <c r="L60" s="299">
        <v>0</v>
      </c>
      <c r="M60" s="299">
        <v>0</v>
      </c>
      <c r="N60" s="299">
        <v>0</v>
      </c>
      <c r="O60" s="299">
        <v>0</v>
      </c>
      <c r="P60" s="299">
        <v>0</v>
      </c>
      <c r="Q60" s="299">
        <v>0</v>
      </c>
      <c r="R60" s="299">
        <v>0</v>
      </c>
      <c r="S60" s="384">
        <v>0</v>
      </c>
      <c r="T60" s="299">
        <v>0</v>
      </c>
      <c r="U60" s="349">
        <v>0</v>
      </c>
      <c r="V60" s="349">
        <v>0</v>
      </c>
      <c r="W60" s="356">
        <v>0</v>
      </c>
      <c r="X60" s="349">
        <v>0</v>
      </c>
      <c r="Y60" s="349">
        <v>0</v>
      </c>
      <c r="Z60" s="349">
        <v>0</v>
      </c>
      <c r="AA60" s="349">
        <v>0</v>
      </c>
      <c r="AB60" s="349">
        <v>0</v>
      </c>
      <c r="AC60" s="349">
        <v>0</v>
      </c>
      <c r="AD60" s="349">
        <v>0</v>
      </c>
      <c r="AE60" s="346" t="s">
        <v>645</v>
      </c>
      <c r="AF60" s="346" t="s">
        <v>645</v>
      </c>
      <c r="AG60" s="349">
        <v>0</v>
      </c>
      <c r="AH60" s="349">
        <v>0</v>
      </c>
      <c r="AI60" s="346" t="s">
        <v>645</v>
      </c>
      <c r="AJ60" s="346" t="s">
        <v>645</v>
      </c>
      <c r="AK60" s="349">
        <v>0</v>
      </c>
      <c r="AL60" s="349">
        <v>0</v>
      </c>
      <c r="AM60" s="346" t="s">
        <v>645</v>
      </c>
      <c r="AN60" s="346" t="s">
        <v>645</v>
      </c>
      <c r="AO60" s="346">
        <f t="shared" si="4"/>
        <v>0</v>
      </c>
      <c r="AP60" s="357">
        <f t="shared" si="5"/>
        <v>0</v>
      </c>
    </row>
    <row r="61" spans="1:42" x14ac:dyDescent="0.25">
      <c r="A61" s="347" t="s">
        <v>220</v>
      </c>
      <c r="B61" s="355" t="s">
        <v>145</v>
      </c>
      <c r="C61" s="346">
        <v>0</v>
      </c>
      <c r="D61" s="346">
        <v>0</v>
      </c>
      <c r="E61" s="346">
        <v>0</v>
      </c>
      <c r="F61" s="346">
        <f t="shared" si="6"/>
        <v>0</v>
      </c>
      <c r="G61" s="346">
        <v>0</v>
      </c>
      <c r="H61" s="299">
        <v>0</v>
      </c>
      <c r="I61" s="299">
        <v>0</v>
      </c>
      <c r="J61" s="299">
        <v>0</v>
      </c>
      <c r="K61" s="299">
        <v>0</v>
      </c>
      <c r="L61" s="299">
        <v>0</v>
      </c>
      <c r="M61" s="299">
        <v>0</v>
      </c>
      <c r="N61" s="299">
        <v>0</v>
      </c>
      <c r="O61" s="299">
        <v>0</v>
      </c>
      <c r="P61" s="299">
        <v>0</v>
      </c>
      <c r="Q61" s="299">
        <v>0</v>
      </c>
      <c r="R61" s="299">
        <v>0</v>
      </c>
      <c r="S61" s="384">
        <v>0</v>
      </c>
      <c r="T61" s="299">
        <v>0</v>
      </c>
      <c r="U61" s="349">
        <v>0</v>
      </c>
      <c r="V61" s="349">
        <v>0</v>
      </c>
      <c r="W61" s="356">
        <v>0</v>
      </c>
      <c r="X61" s="349">
        <v>0</v>
      </c>
      <c r="Y61" s="349">
        <v>0</v>
      </c>
      <c r="Z61" s="349">
        <v>0</v>
      </c>
      <c r="AA61" s="349">
        <v>0</v>
      </c>
      <c r="AB61" s="349">
        <v>0</v>
      </c>
      <c r="AC61" s="349">
        <v>0</v>
      </c>
      <c r="AD61" s="349">
        <v>0</v>
      </c>
      <c r="AE61" s="346" t="s">
        <v>645</v>
      </c>
      <c r="AF61" s="346" t="s">
        <v>645</v>
      </c>
      <c r="AG61" s="349">
        <v>0</v>
      </c>
      <c r="AH61" s="349">
        <v>0</v>
      </c>
      <c r="AI61" s="346" t="s">
        <v>645</v>
      </c>
      <c r="AJ61" s="346" t="s">
        <v>645</v>
      </c>
      <c r="AK61" s="349">
        <v>0</v>
      </c>
      <c r="AL61" s="349">
        <v>0</v>
      </c>
      <c r="AM61" s="346" t="s">
        <v>645</v>
      </c>
      <c r="AN61" s="346" t="s">
        <v>645</v>
      </c>
      <c r="AO61" s="346">
        <f t="shared" si="4"/>
        <v>0</v>
      </c>
      <c r="AP61" s="357">
        <f t="shared" si="5"/>
        <v>0</v>
      </c>
    </row>
    <row r="62" spans="1:42" x14ac:dyDescent="0.25">
      <c r="A62" s="347" t="s">
        <v>221</v>
      </c>
      <c r="B62" s="355" t="s">
        <v>143</v>
      </c>
      <c r="C62" s="346">
        <v>0</v>
      </c>
      <c r="D62" s="346">
        <v>0</v>
      </c>
      <c r="E62" s="346">
        <v>0</v>
      </c>
      <c r="F62" s="346">
        <f t="shared" si="6"/>
        <v>0</v>
      </c>
      <c r="G62" s="346">
        <v>0</v>
      </c>
      <c r="H62" s="299">
        <v>0</v>
      </c>
      <c r="I62" s="299">
        <v>0</v>
      </c>
      <c r="J62" s="299">
        <v>0</v>
      </c>
      <c r="K62" s="299">
        <v>0</v>
      </c>
      <c r="L62" s="299">
        <v>0</v>
      </c>
      <c r="M62" s="299">
        <v>0</v>
      </c>
      <c r="N62" s="299">
        <v>0</v>
      </c>
      <c r="O62" s="299">
        <v>0</v>
      </c>
      <c r="P62" s="299">
        <v>0</v>
      </c>
      <c r="Q62" s="299">
        <v>0</v>
      </c>
      <c r="R62" s="299">
        <v>0</v>
      </c>
      <c r="S62" s="384">
        <v>0</v>
      </c>
      <c r="T62" s="299">
        <v>0</v>
      </c>
      <c r="U62" s="349">
        <v>0</v>
      </c>
      <c r="V62" s="349">
        <v>0</v>
      </c>
      <c r="W62" s="356">
        <v>0</v>
      </c>
      <c r="X62" s="349">
        <v>0</v>
      </c>
      <c r="Y62" s="349">
        <v>0</v>
      </c>
      <c r="Z62" s="349">
        <v>0</v>
      </c>
      <c r="AA62" s="349">
        <v>0</v>
      </c>
      <c r="AB62" s="349">
        <v>0</v>
      </c>
      <c r="AC62" s="349">
        <v>0</v>
      </c>
      <c r="AD62" s="349">
        <v>0</v>
      </c>
      <c r="AE62" s="346" t="s">
        <v>645</v>
      </c>
      <c r="AF62" s="346" t="s">
        <v>645</v>
      </c>
      <c r="AG62" s="349">
        <v>0</v>
      </c>
      <c r="AH62" s="349">
        <v>0</v>
      </c>
      <c r="AI62" s="346" t="s">
        <v>645</v>
      </c>
      <c r="AJ62" s="346" t="s">
        <v>645</v>
      </c>
      <c r="AK62" s="349">
        <v>0</v>
      </c>
      <c r="AL62" s="349">
        <v>0</v>
      </c>
      <c r="AM62" s="346" t="s">
        <v>645</v>
      </c>
      <c r="AN62" s="346" t="s">
        <v>645</v>
      </c>
      <c r="AO62" s="346">
        <f t="shared" si="4"/>
        <v>0</v>
      </c>
      <c r="AP62" s="357">
        <f t="shared" si="5"/>
        <v>0</v>
      </c>
    </row>
    <row r="63" spans="1:42" x14ac:dyDescent="0.25">
      <c r="A63" s="347" t="s">
        <v>222</v>
      </c>
      <c r="B63" s="355" t="s">
        <v>224</v>
      </c>
      <c r="C63" s="346">
        <v>0</v>
      </c>
      <c r="D63" s="346">
        <v>0</v>
      </c>
      <c r="E63" s="346">
        <v>0</v>
      </c>
      <c r="F63" s="346">
        <f t="shared" si="6"/>
        <v>0</v>
      </c>
      <c r="G63" s="346">
        <v>0</v>
      </c>
      <c r="H63" s="299">
        <v>0</v>
      </c>
      <c r="I63" s="299">
        <v>0</v>
      </c>
      <c r="J63" s="299">
        <v>0</v>
      </c>
      <c r="K63" s="299">
        <v>0</v>
      </c>
      <c r="L63" s="299">
        <v>0</v>
      </c>
      <c r="M63" s="299">
        <v>0</v>
      </c>
      <c r="N63" s="299">
        <v>0</v>
      </c>
      <c r="O63" s="299">
        <v>0</v>
      </c>
      <c r="P63" s="299">
        <v>0</v>
      </c>
      <c r="Q63" s="299">
        <v>0</v>
      </c>
      <c r="R63" s="299">
        <v>0</v>
      </c>
      <c r="S63" s="384">
        <v>0</v>
      </c>
      <c r="T63" s="299">
        <v>0</v>
      </c>
      <c r="U63" s="349">
        <v>0</v>
      </c>
      <c r="V63" s="349">
        <v>0</v>
      </c>
      <c r="W63" s="356">
        <v>0</v>
      </c>
      <c r="X63" s="349">
        <v>0</v>
      </c>
      <c r="Y63" s="349">
        <v>0</v>
      </c>
      <c r="Z63" s="349">
        <v>0</v>
      </c>
      <c r="AA63" s="349">
        <v>0</v>
      </c>
      <c r="AB63" s="349">
        <v>0</v>
      </c>
      <c r="AC63" s="349">
        <v>0</v>
      </c>
      <c r="AD63" s="349">
        <v>0</v>
      </c>
      <c r="AE63" s="346" t="s">
        <v>645</v>
      </c>
      <c r="AF63" s="346" t="s">
        <v>645</v>
      </c>
      <c r="AG63" s="349">
        <v>0</v>
      </c>
      <c r="AH63" s="349">
        <v>0</v>
      </c>
      <c r="AI63" s="346" t="s">
        <v>645</v>
      </c>
      <c r="AJ63" s="346" t="s">
        <v>645</v>
      </c>
      <c r="AK63" s="349">
        <v>0</v>
      </c>
      <c r="AL63" s="349">
        <v>0</v>
      </c>
      <c r="AM63" s="346" t="s">
        <v>645</v>
      </c>
      <c r="AN63" s="346" t="s">
        <v>645</v>
      </c>
      <c r="AO63" s="346">
        <f t="shared" si="4"/>
        <v>0</v>
      </c>
      <c r="AP63" s="357">
        <f t="shared" si="5"/>
        <v>0</v>
      </c>
    </row>
    <row r="64" spans="1:42" ht="18.75" x14ac:dyDescent="0.25">
      <c r="A64" s="347" t="s">
        <v>223</v>
      </c>
      <c r="B64" s="327" t="s">
        <v>745</v>
      </c>
      <c r="C64" s="346">
        <v>0</v>
      </c>
      <c r="D64" s="346">
        <v>0</v>
      </c>
      <c r="E64" s="346">
        <v>0</v>
      </c>
      <c r="F64" s="346">
        <f t="shared" si="6"/>
        <v>0</v>
      </c>
      <c r="G64" s="346">
        <v>0</v>
      </c>
      <c r="H64" s="299">
        <v>0</v>
      </c>
      <c r="I64" s="299">
        <v>0</v>
      </c>
      <c r="J64" s="299">
        <v>0</v>
      </c>
      <c r="K64" s="299">
        <v>0</v>
      </c>
      <c r="L64" s="299">
        <v>0</v>
      </c>
      <c r="M64" s="299">
        <v>0</v>
      </c>
      <c r="N64" s="299">
        <v>0</v>
      </c>
      <c r="O64" s="299">
        <v>0</v>
      </c>
      <c r="P64" s="299">
        <v>0</v>
      </c>
      <c r="Q64" s="299">
        <v>0</v>
      </c>
      <c r="R64" s="299">
        <v>0</v>
      </c>
      <c r="S64" s="384">
        <v>0</v>
      </c>
      <c r="T64" s="299">
        <v>0</v>
      </c>
      <c r="U64" s="349">
        <v>0</v>
      </c>
      <c r="V64" s="349">
        <v>0</v>
      </c>
      <c r="W64" s="352">
        <v>0</v>
      </c>
      <c r="X64" s="349">
        <v>0</v>
      </c>
      <c r="Y64" s="349">
        <v>0</v>
      </c>
      <c r="Z64" s="349">
        <v>0</v>
      </c>
      <c r="AA64" s="349">
        <v>0</v>
      </c>
      <c r="AB64" s="349">
        <v>0</v>
      </c>
      <c r="AC64" s="349">
        <v>0</v>
      </c>
      <c r="AD64" s="349">
        <v>0</v>
      </c>
      <c r="AE64" s="346" t="s">
        <v>645</v>
      </c>
      <c r="AF64" s="346" t="s">
        <v>645</v>
      </c>
      <c r="AG64" s="349">
        <v>0</v>
      </c>
      <c r="AH64" s="349">
        <v>0</v>
      </c>
      <c r="AI64" s="346" t="s">
        <v>645</v>
      </c>
      <c r="AJ64" s="346" t="s">
        <v>645</v>
      </c>
      <c r="AK64" s="349">
        <v>0</v>
      </c>
      <c r="AL64" s="349">
        <v>0</v>
      </c>
      <c r="AM64" s="346" t="s">
        <v>645</v>
      </c>
      <c r="AN64" s="346" t="s">
        <v>645</v>
      </c>
      <c r="AO64" s="346">
        <f t="shared" si="4"/>
        <v>0</v>
      </c>
      <c r="AP64" s="357">
        <f t="shared" si="5"/>
        <v>0</v>
      </c>
    </row>
    <row r="65" spans="1:41" x14ac:dyDescent="0.25">
      <c r="A65" s="74"/>
      <c r="B65" s="75"/>
      <c r="C65" s="75"/>
      <c r="D65" s="75"/>
      <c r="E65" s="75"/>
      <c r="F65" s="75"/>
      <c r="G65" s="75"/>
      <c r="H65" s="75"/>
      <c r="I65" s="75"/>
      <c r="J65" s="75"/>
      <c r="K65" s="75"/>
      <c r="L65" s="75"/>
      <c r="M65" s="75"/>
      <c r="N65" s="75"/>
      <c r="O65" s="75"/>
      <c r="P65" s="75"/>
      <c r="Q65" s="75"/>
      <c r="R65" s="75"/>
      <c r="S65" s="75"/>
      <c r="T65" s="75"/>
      <c r="U65" s="65"/>
      <c r="V65" s="65"/>
      <c r="W65" s="65"/>
      <c r="X65" s="65"/>
      <c r="Y65" s="65"/>
      <c r="Z65" s="65"/>
      <c r="AA65" s="65"/>
      <c r="AB65" s="65"/>
      <c r="AC65" s="65"/>
      <c r="AD65" s="65"/>
      <c r="AE65" s="65"/>
      <c r="AF65" s="65"/>
      <c r="AG65" s="65"/>
      <c r="AH65" s="65"/>
      <c r="AI65" s="65"/>
      <c r="AJ65" s="65"/>
      <c r="AK65" s="65"/>
      <c r="AL65" s="65"/>
      <c r="AM65" s="65"/>
      <c r="AN65" s="65"/>
      <c r="AO65" s="65"/>
    </row>
    <row r="66" spans="1:41" ht="54" customHeight="1" x14ac:dyDescent="0.25">
      <c r="A66" s="65"/>
      <c r="B66" s="490"/>
      <c r="C66" s="490"/>
      <c r="D66" s="490"/>
      <c r="E66" s="490"/>
      <c r="F66" s="490"/>
      <c r="G66" s="490"/>
      <c r="H66" s="490"/>
      <c r="I66" s="490"/>
      <c r="J66" s="490"/>
      <c r="K66" s="336"/>
      <c r="L66" s="336"/>
      <c r="M66" s="378"/>
      <c r="N66" s="378"/>
      <c r="O66" s="378"/>
      <c r="P66" s="378"/>
      <c r="Q66" s="378"/>
      <c r="R66" s="378"/>
      <c r="S66" s="378"/>
      <c r="T66" s="378"/>
      <c r="U66" s="73"/>
      <c r="V66" s="73"/>
      <c r="W66" s="73"/>
      <c r="X66" s="73"/>
      <c r="Y66" s="73"/>
      <c r="Z66" s="73"/>
      <c r="AA66" s="73"/>
      <c r="AB66" s="73"/>
      <c r="AC66" s="73"/>
      <c r="AD66" s="73"/>
      <c r="AE66" s="73"/>
      <c r="AF66" s="73"/>
      <c r="AG66" s="73"/>
      <c r="AH66" s="73"/>
      <c r="AI66" s="73"/>
      <c r="AJ66" s="73"/>
      <c r="AK66" s="73"/>
      <c r="AL66" s="73"/>
      <c r="AM66" s="73"/>
      <c r="AN66" s="73"/>
      <c r="AO66" s="73"/>
    </row>
    <row r="67" spans="1:41" x14ac:dyDescent="0.25">
      <c r="A67" s="65"/>
      <c r="B67" s="65"/>
      <c r="C67" s="65"/>
      <c r="D67" s="65"/>
      <c r="E67" s="65"/>
      <c r="F67" s="65"/>
      <c r="G67" s="65"/>
      <c r="U67" s="65"/>
      <c r="V67" s="65"/>
      <c r="W67" s="65"/>
      <c r="X67" s="65"/>
      <c r="Y67" s="65"/>
      <c r="Z67" s="65"/>
      <c r="AA67" s="65"/>
      <c r="AB67" s="65"/>
      <c r="AC67" s="65"/>
      <c r="AD67" s="65"/>
      <c r="AE67" s="65"/>
      <c r="AF67" s="65"/>
      <c r="AG67" s="65"/>
      <c r="AH67" s="65"/>
      <c r="AI67" s="65"/>
      <c r="AJ67" s="65"/>
      <c r="AK67" s="65"/>
      <c r="AL67" s="65"/>
      <c r="AM67" s="65"/>
      <c r="AN67" s="65"/>
      <c r="AO67" s="65"/>
    </row>
    <row r="68" spans="1:41" ht="50.25" customHeight="1" x14ac:dyDescent="0.25">
      <c r="A68" s="65"/>
      <c r="B68" s="491"/>
      <c r="C68" s="491"/>
      <c r="D68" s="491"/>
      <c r="E68" s="491"/>
      <c r="F68" s="491"/>
      <c r="G68" s="491"/>
      <c r="H68" s="491"/>
      <c r="I68" s="491"/>
      <c r="J68" s="491"/>
      <c r="K68" s="337"/>
      <c r="L68" s="337"/>
      <c r="M68" s="379"/>
      <c r="N68" s="379"/>
      <c r="O68" s="379"/>
      <c r="P68" s="379"/>
      <c r="Q68" s="379"/>
      <c r="R68" s="379"/>
      <c r="S68" s="379"/>
      <c r="T68" s="379"/>
      <c r="U68" s="65"/>
      <c r="V68" s="65"/>
      <c r="W68" s="65"/>
      <c r="X68" s="65"/>
      <c r="Y68" s="65"/>
      <c r="Z68" s="65"/>
      <c r="AA68" s="65"/>
      <c r="AB68" s="65"/>
      <c r="AC68" s="65"/>
      <c r="AD68" s="65"/>
      <c r="AE68" s="65"/>
      <c r="AF68" s="65"/>
      <c r="AG68" s="65"/>
      <c r="AH68" s="65"/>
      <c r="AI68" s="65"/>
      <c r="AJ68" s="65"/>
      <c r="AK68" s="65"/>
      <c r="AL68" s="65"/>
      <c r="AM68" s="65"/>
      <c r="AN68" s="65"/>
      <c r="AO68" s="65"/>
    </row>
    <row r="69" spans="1:41" x14ac:dyDescent="0.25">
      <c r="A69" s="65"/>
      <c r="B69" s="65"/>
      <c r="C69" s="65"/>
      <c r="D69" s="65"/>
      <c r="E69" s="65"/>
      <c r="F69" s="65"/>
      <c r="G69" s="65"/>
      <c r="U69" s="65"/>
      <c r="V69" s="65"/>
      <c r="W69" s="65"/>
      <c r="X69" s="65"/>
      <c r="Y69" s="65"/>
      <c r="Z69" s="65"/>
      <c r="AA69" s="65"/>
      <c r="AB69" s="65"/>
      <c r="AC69" s="65"/>
      <c r="AD69" s="65"/>
      <c r="AE69" s="65"/>
      <c r="AF69" s="65"/>
      <c r="AG69" s="65"/>
      <c r="AH69" s="65"/>
      <c r="AI69" s="65"/>
      <c r="AJ69" s="65"/>
      <c r="AK69" s="65"/>
      <c r="AL69" s="65"/>
      <c r="AM69" s="65"/>
      <c r="AN69" s="65"/>
      <c r="AO69" s="65"/>
    </row>
    <row r="70" spans="1:41" ht="36.75" customHeight="1" x14ac:dyDescent="0.25">
      <c r="A70" s="65"/>
      <c r="B70" s="490"/>
      <c r="C70" s="490"/>
      <c r="D70" s="490"/>
      <c r="E70" s="490"/>
      <c r="F70" s="490"/>
      <c r="G70" s="490"/>
      <c r="H70" s="490"/>
      <c r="I70" s="490"/>
      <c r="J70" s="490"/>
      <c r="K70" s="336"/>
      <c r="L70" s="336"/>
      <c r="M70" s="378"/>
      <c r="N70" s="378"/>
      <c r="O70" s="378"/>
      <c r="P70" s="378"/>
      <c r="Q70" s="378"/>
      <c r="R70" s="378"/>
      <c r="S70" s="378"/>
      <c r="T70" s="378"/>
      <c r="U70" s="65"/>
      <c r="V70" s="65"/>
      <c r="W70" s="65"/>
      <c r="X70" s="65"/>
      <c r="Y70" s="65"/>
      <c r="Z70" s="65"/>
      <c r="AA70" s="65"/>
      <c r="AB70" s="65"/>
      <c r="AC70" s="65"/>
      <c r="AD70" s="65"/>
      <c r="AE70" s="65"/>
      <c r="AF70" s="65"/>
      <c r="AG70" s="65"/>
      <c r="AH70" s="65"/>
      <c r="AI70" s="65"/>
      <c r="AJ70" s="65"/>
      <c r="AK70" s="65"/>
      <c r="AL70" s="65"/>
      <c r="AM70" s="65"/>
      <c r="AN70" s="65"/>
      <c r="AO70" s="65"/>
    </row>
    <row r="71" spans="1:41" x14ac:dyDescent="0.25">
      <c r="A71" s="65"/>
      <c r="B71" s="72"/>
      <c r="C71" s="72"/>
      <c r="D71" s="72"/>
      <c r="E71" s="72"/>
      <c r="F71" s="72"/>
      <c r="G71" s="72"/>
      <c r="U71" s="65"/>
      <c r="V71" s="65"/>
      <c r="W71" s="65"/>
      <c r="X71" s="65"/>
      <c r="Y71" s="65"/>
      <c r="Z71" s="65"/>
      <c r="AA71" s="65"/>
      <c r="AB71" s="65"/>
      <c r="AC71" s="65"/>
      <c r="AD71" s="65"/>
      <c r="AE71" s="65"/>
      <c r="AF71" s="65"/>
      <c r="AG71" s="65"/>
      <c r="AH71" s="65"/>
      <c r="AI71" s="65"/>
      <c r="AJ71" s="65"/>
      <c r="AK71" s="65"/>
      <c r="AL71" s="65"/>
      <c r="AM71" s="65"/>
      <c r="AN71" s="65"/>
      <c r="AO71" s="65"/>
    </row>
    <row r="72" spans="1:41" ht="51" customHeight="1" x14ac:dyDescent="0.25">
      <c r="A72" s="65"/>
      <c r="B72" s="490"/>
      <c r="C72" s="490"/>
      <c r="D72" s="490"/>
      <c r="E72" s="490"/>
      <c r="F72" s="490"/>
      <c r="G72" s="490"/>
      <c r="H72" s="490"/>
      <c r="I72" s="490"/>
      <c r="J72" s="490"/>
      <c r="K72" s="336"/>
      <c r="L72" s="336"/>
      <c r="M72" s="378"/>
      <c r="N72" s="378"/>
      <c r="O72" s="378"/>
      <c r="P72" s="378"/>
      <c r="Q72" s="378"/>
      <c r="R72" s="378"/>
      <c r="S72" s="378"/>
      <c r="T72" s="378"/>
      <c r="U72" s="65"/>
      <c r="V72" s="65"/>
      <c r="W72" s="65"/>
      <c r="X72" s="65"/>
      <c r="Y72" s="65"/>
      <c r="Z72" s="65"/>
      <c r="AA72" s="65"/>
      <c r="AB72" s="65"/>
      <c r="AC72" s="65"/>
      <c r="AD72" s="65"/>
      <c r="AE72" s="65"/>
      <c r="AF72" s="65"/>
      <c r="AG72" s="65"/>
      <c r="AH72" s="65"/>
      <c r="AI72" s="65"/>
      <c r="AJ72" s="65"/>
      <c r="AK72" s="65"/>
      <c r="AL72" s="65"/>
      <c r="AM72" s="65"/>
      <c r="AN72" s="65"/>
      <c r="AO72" s="65"/>
    </row>
    <row r="73" spans="1:41" ht="32.25" customHeight="1" x14ac:dyDescent="0.25">
      <c r="A73" s="65"/>
      <c r="B73" s="491"/>
      <c r="C73" s="491"/>
      <c r="D73" s="491"/>
      <c r="E73" s="491"/>
      <c r="F73" s="491"/>
      <c r="G73" s="491"/>
      <c r="H73" s="491"/>
      <c r="I73" s="491"/>
      <c r="J73" s="491"/>
      <c r="K73" s="337"/>
      <c r="L73" s="337"/>
      <c r="M73" s="379"/>
      <c r="N73" s="379"/>
      <c r="O73" s="379"/>
      <c r="P73" s="379"/>
      <c r="Q73" s="379"/>
      <c r="R73" s="379"/>
      <c r="S73" s="379"/>
      <c r="T73" s="379"/>
      <c r="U73" s="65"/>
      <c r="V73" s="65"/>
      <c r="W73" s="65"/>
      <c r="X73" s="65"/>
      <c r="Y73" s="65"/>
      <c r="Z73" s="65"/>
      <c r="AA73" s="65"/>
      <c r="AB73" s="65"/>
      <c r="AC73" s="65"/>
      <c r="AD73" s="65"/>
      <c r="AE73" s="65"/>
      <c r="AF73" s="65"/>
      <c r="AG73" s="65"/>
      <c r="AH73" s="65"/>
      <c r="AI73" s="65"/>
      <c r="AJ73" s="65"/>
      <c r="AK73" s="65"/>
      <c r="AL73" s="65"/>
      <c r="AM73" s="65"/>
      <c r="AN73" s="65"/>
      <c r="AO73" s="65"/>
    </row>
    <row r="74" spans="1:41" ht="51.75" customHeight="1" x14ac:dyDescent="0.25">
      <c r="A74" s="65"/>
      <c r="B74" s="490"/>
      <c r="C74" s="490"/>
      <c r="D74" s="490"/>
      <c r="E74" s="490"/>
      <c r="F74" s="490"/>
      <c r="G74" s="490"/>
      <c r="H74" s="490"/>
      <c r="I74" s="490"/>
      <c r="J74" s="490"/>
      <c r="K74" s="336"/>
      <c r="L74" s="336"/>
      <c r="M74" s="378"/>
      <c r="N74" s="378"/>
      <c r="O74" s="378"/>
      <c r="P74" s="378"/>
      <c r="Q74" s="378"/>
      <c r="R74" s="378"/>
      <c r="S74" s="378"/>
      <c r="T74" s="378"/>
      <c r="U74" s="65"/>
      <c r="V74" s="65"/>
      <c r="W74" s="65"/>
      <c r="X74" s="65"/>
      <c r="Y74" s="65"/>
      <c r="Z74" s="65"/>
      <c r="AA74" s="65"/>
      <c r="AB74" s="65"/>
      <c r="AC74" s="65"/>
      <c r="AD74" s="65"/>
      <c r="AE74" s="65"/>
      <c r="AF74" s="65"/>
      <c r="AG74" s="65"/>
      <c r="AH74" s="65"/>
      <c r="AI74" s="65"/>
      <c r="AJ74" s="65"/>
      <c r="AK74" s="65"/>
      <c r="AL74" s="65"/>
      <c r="AM74" s="65"/>
      <c r="AN74" s="65"/>
      <c r="AO74" s="65"/>
    </row>
    <row r="75" spans="1:41" ht="21.75" customHeight="1" x14ac:dyDescent="0.25">
      <c r="A75" s="65"/>
      <c r="B75" s="488"/>
      <c r="C75" s="488"/>
      <c r="D75" s="488"/>
      <c r="E75" s="488"/>
      <c r="F75" s="488"/>
      <c r="G75" s="488"/>
      <c r="H75" s="488"/>
      <c r="I75" s="488"/>
      <c r="J75" s="488"/>
      <c r="K75" s="334"/>
      <c r="L75" s="334"/>
      <c r="M75" s="376"/>
      <c r="N75" s="376"/>
      <c r="O75" s="376"/>
      <c r="P75" s="376"/>
      <c r="Q75" s="376"/>
      <c r="R75" s="376"/>
      <c r="S75" s="376"/>
      <c r="T75" s="376"/>
      <c r="U75" s="65"/>
      <c r="V75" s="65"/>
      <c r="W75" s="65"/>
      <c r="X75" s="65"/>
      <c r="Y75" s="65"/>
      <c r="Z75" s="65"/>
      <c r="AA75" s="65"/>
      <c r="AB75" s="65"/>
      <c r="AC75" s="65"/>
      <c r="AD75" s="65"/>
      <c r="AE75" s="65"/>
      <c r="AF75" s="65"/>
      <c r="AG75" s="65"/>
      <c r="AH75" s="65"/>
      <c r="AI75" s="65"/>
      <c r="AJ75" s="65"/>
      <c r="AK75" s="65"/>
      <c r="AL75" s="65"/>
      <c r="AM75" s="65"/>
      <c r="AN75" s="65"/>
      <c r="AO75" s="65"/>
    </row>
    <row r="76" spans="1:41" ht="23.25" customHeight="1" x14ac:dyDescent="0.25">
      <c r="A76" s="65"/>
      <c r="B76" s="67"/>
      <c r="C76" s="67"/>
      <c r="D76" s="67"/>
      <c r="E76" s="67"/>
      <c r="F76" s="67"/>
      <c r="G76" s="67"/>
      <c r="U76" s="65"/>
      <c r="V76" s="65"/>
      <c r="W76" s="65"/>
      <c r="X76" s="65"/>
      <c r="Y76" s="65"/>
      <c r="Z76" s="65"/>
      <c r="AA76" s="65"/>
      <c r="AB76" s="65"/>
      <c r="AC76" s="65"/>
      <c r="AD76" s="65"/>
      <c r="AE76" s="65"/>
      <c r="AF76" s="65"/>
      <c r="AG76" s="65"/>
      <c r="AH76" s="65"/>
      <c r="AI76" s="65"/>
      <c r="AJ76" s="65"/>
      <c r="AK76" s="65"/>
      <c r="AL76" s="65"/>
      <c r="AM76" s="65"/>
      <c r="AN76" s="65"/>
      <c r="AO76" s="65"/>
    </row>
    <row r="77" spans="1:41" ht="18.75" customHeight="1" x14ac:dyDescent="0.25">
      <c r="A77" s="65"/>
      <c r="B77" s="489"/>
      <c r="C77" s="489"/>
      <c r="D77" s="489"/>
      <c r="E77" s="489"/>
      <c r="F77" s="489"/>
      <c r="G77" s="489"/>
      <c r="H77" s="489"/>
      <c r="I77" s="489"/>
      <c r="J77" s="489"/>
      <c r="K77" s="335"/>
      <c r="L77" s="335"/>
      <c r="M77" s="377"/>
      <c r="N77" s="377"/>
      <c r="O77" s="377"/>
      <c r="P77" s="377"/>
      <c r="Q77" s="377"/>
      <c r="R77" s="377"/>
      <c r="S77" s="377"/>
      <c r="T77" s="377"/>
      <c r="U77" s="65"/>
      <c r="V77" s="65"/>
      <c r="W77" s="65"/>
      <c r="X77" s="65"/>
      <c r="Y77" s="65"/>
      <c r="Z77" s="65"/>
      <c r="AA77" s="65"/>
      <c r="AB77" s="65"/>
      <c r="AC77" s="65"/>
      <c r="AD77" s="65"/>
      <c r="AE77" s="65"/>
      <c r="AF77" s="65"/>
      <c r="AG77" s="65"/>
      <c r="AH77" s="65"/>
      <c r="AI77" s="65"/>
      <c r="AJ77" s="65"/>
      <c r="AK77" s="65"/>
      <c r="AL77" s="65"/>
      <c r="AM77" s="65"/>
      <c r="AN77" s="65"/>
      <c r="AO77" s="65"/>
    </row>
    <row r="78" spans="1:41" x14ac:dyDescent="0.25">
      <c r="A78" s="65"/>
      <c r="B78" s="65"/>
      <c r="C78" s="65"/>
      <c r="D78" s="65"/>
      <c r="E78" s="65"/>
      <c r="F78" s="65"/>
      <c r="G78" s="65"/>
      <c r="U78" s="65"/>
      <c r="V78" s="65"/>
      <c r="W78" s="65"/>
      <c r="X78" s="65"/>
      <c r="Y78" s="65"/>
      <c r="Z78" s="65"/>
      <c r="AA78" s="65"/>
      <c r="AB78" s="65"/>
      <c r="AC78" s="65"/>
      <c r="AD78" s="65"/>
      <c r="AE78" s="65"/>
      <c r="AF78" s="65"/>
      <c r="AG78" s="65"/>
      <c r="AH78" s="65"/>
      <c r="AI78" s="65"/>
      <c r="AJ78" s="65"/>
      <c r="AK78" s="65"/>
      <c r="AL78" s="65"/>
      <c r="AM78" s="65"/>
      <c r="AN78" s="65"/>
      <c r="AO78" s="65"/>
    </row>
    <row r="79" spans="1:41" x14ac:dyDescent="0.25">
      <c r="A79" s="65"/>
      <c r="B79" s="65"/>
      <c r="C79" s="65"/>
      <c r="D79" s="65"/>
      <c r="E79" s="65"/>
      <c r="F79" s="65"/>
      <c r="G79" s="65"/>
      <c r="U79" s="65"/>
      <c r="V79" s="65"/>
      <c r="W79" s="65"/>
      <c r="X79" s="65"/>
      <c r="Y79" s="65"/>
      <c r="Z79" s="65"/>
      <c r="AA79" s="65"/>
      <c r="AB79" s="65"/>
      <c r="AC79" s="65"/>
      <c r="AD79" s="65"/>
      <c r="AE79" s="65"/>
      <c r="AF79" s="65"/>
      <c r="AG79" s="65"/>
      <c r="AH79" s="65"/>
      <c r="AI79" s="65"/>
      <c r="AJ79" s="65"/>
      <c r="AK79" s="65"/>
      <c r="AL79" s="65"/>
      <c r="AM79" s="65"/>
      <c r="AN79" s="65"/>
      <c r="AO79" s="65"/>
    </row>
    <row r="80" spans="1:41" x14ac:dyDescent="0.25">
      <c r="H80" s="64"/>
      <c r="I80" s="64"/>
      <c r="J80" s="64"/>
      <c r="K80" s="64"/>
      <c r="L80" s="64"/>
      <c r="M80" s="64"/>
      <c r="N80" s="64"/>
      <c r="O80" s="64"/>
      <c r="P80" s="64"/>
      <c r="Q80" s="64"/>
      <c r="R80" s="64"/>
      <c r="S80" s="64"/>
      <c r="T80" s="64"/>
    </row>
    <row r="81" spans="8:20" x14ac:dyDescent="0.25">
      <c r="H81" s="64"/>
      <c r="I81" s="64"/>
      <c r="J81" s="64"/>
      <c r="K81" s="64"/>
      <c r="L81" s="64"/>
      <c r="M81" s="64"/>
      <c r="N81" s="64"/>
      <c r="O81" s="64"/>
      <c r="P81" s="64"/>
      <c r="Q81" s="64"/>
      <c r="R81" s="64"/>
      <c r="S81" s="64"/>
      <c r="T81" s="64"/>
    </row>
    <row r="82" spans="8:20" x14ac:dyDescent="0.25">
      <c r="H82" s="64"/>
      <c r="I82" s="64"/>
      <c r="J82" s="64"/>
      <c r="K82" s="64"/>
      <c r="L82" s="64"/>
      <c r="M82" s="64"/>
      <c r="N82" s="64"/>
      <c r="O82" s="64"/>
      <c r="P82" s="64"/>
      <c r="Q82" s="64"/>
      <c r="R82" s="64"/>
      <c r="S82" s="64"/>
      <c r="T82" s="64"/>
    </row>
    <row r="83" spans="8:20" x14ac:dyDescent="0.25">
      <c r="H83" s="64"/>
      <c r="I83" s="64"/>
      <c r="J83" s="64"/>
      <c r="K83" s="64"/>
      <c r="L83" s="64"/>
      <c r="M83" s="64"/>
      <c r="N83" s="64"/>
      <c r="O83" s="64"/>
      <c r="P83" s="64"/>
      <c r="Q83" s="64"/>
      <c r="R83" s="64"/>
      <c r="S83" s="64"/>
      <c r="T83" s="64"/>
    </row>
    <row r="84" spans="8:20" x14ac:dyDescent="0.25">
      <c r="H84" s="64"/>
      <c r="I84" s="64"/>
      <c r="J84" s="64"/>
      <c r="K84" s="64"/>
      <c r="L84" s="64"/>
      <c r="M84" s="64"/>
      <c r="N84" s="64"/>
      <c r="O84" s="64"/>
      <c r="P84" s="64"/>
      <c r="Q84" s="64"/>
      <c r="R84" s="64"/>
      <c r="S84" s="64"/>
      <c r="T84" s="64"/>
    </row>
    <row r="85" spans="8:20" x14ac:dyDescent="0.25">
      <c r="H85" s="64"/>
      <c r="I85" s="64"/>
      <c r="J85" s="64"/>
      <c r="K85" s="64"/>
      <c r="L85" s="64"/>
      <c r="M85" s="64"/>
      <c r="N85" s="64"/>
      <c r="O85" s="64"/>
      <c r="P85" s="64"/>
      <c r="Q85" s="64"/>
      <c r="R85" s="64"/>
      <c r="S85" s="64"/>
      <c r="T85" s="64"/>
    </row>
    <row r="86" spans="8:20" x14ac:dyDescent="0.25">
      <c r="H86" s="64"/>
      <c r="I86" s="64"/>
      <c r="J86" s="64"/>
      <c r="K86" s="64"/>
      <c r="L86" s="64"/>
      <c r="M86" s="64"/>
      <c r="N86" s="64"/>
      <c r="O86" s="64"/>
      <c r="P86" s="64"/>
      <c r="Q86" s="64"/>
      <c r="R86" s="64"/>
      <c r="S86" s="64"/>
      <c r="T86" s="64"/>
    </row>
    <row r="87" spans="8:20" x14ac:dyDescent="0.25">
      <c r="H87" s="64"/>
      <c r="I87" s="64"/>
      <c r="J87" s="64"/>
      <c r="K87" s="64"/>
      <c r="L87" s="64"/>
      <c r="M87" s="64"/>
      <c r="N87" s="64"/>
      <c r="O87" s="64"/>
      <c r="P87" s="64"/>
      <c r="Q87" s="64"/>
      <c r="R87" s="64"/>
      <c r="S87" s="64"/>
      <c r="T87" s="64"/>
    </row>
    <row r="88" spans="8:20" x14ac:dyDescent="0.25">
      <c r="H88" s="64"/>
      <c r="I88" s="64"/>
      <c r="J88" s="64"/>
      <c r="K88" s="64"/>
      <c r="L88" s="64"/>
      <c r="M88" s="64"/>
      <c r="N88" s="64"/>
      <c r="O88" s="64"/>
      <c r="P88" s="64"/>
      <c r="Q88" s="64"/>
      <c r="R88" s="64"/>
      <c r="S88" s="64"/>
      <c r="T88" s="64"/>
    </row>
    <row r="89" spans="8:20" x14ac:dyDescent="0.25">
      <c r="H89" s="64"/>
      <c r="I89" s="64"/>
      <c r="J89" s="64"/>
      <c r="K89" s="64"/>
      <c r="L89" s="64"/>
      <c r="M89" s="64"/>
      <c r="N89" s="64"/>
      <c r="O89" s="64"/>
      <c r="P89" s="64"/>
      <c r="Q89" s="64"/>
      <c r="R89" s="64"/>
      <c r="S89" s="64"/>
      <c r="T89" s="64"/>
    </row>
    <row r="90" spans="8:20" x14ac:dyDescent="0.25">
      <c r="H90" s="64"/>
      <c r="I90" s="64"/>
      <c r="J90" s="64"/>
      <c r="K90" s="64"/>
      <c r="L90" s="64"/>
      <c r="M90" s="64"/>
      <c r="N90" s="64"/>
      <c r="O90" s="64"/>
      <c r="P90" s="64"/>
      <c r="Q90" s="64"/>
      <c r="R90" s="64"/>
      <c r="S90" s="64"/>
      <c r="T90" s="64"/>
    </row>
    <row r="91" spans="8:20" x14ac:dyDescent="0.25">
      <c r="H91" s="64"/>
      <c r="I91" s="64"/>
      <c r="J91" s="64"/>
      <c r="K91" s="64"/>
      <c r="L91" s="64"/>
      <c r="M91" s="64"/>
      <c r="N91" s="64"/>
      <c r="O91" s="64"/>
      <c r="P91" s="64"/>
      <c r="Q91" s="64"/>
      <c r="R91" s="64"/>
      <c r="S91" s="64"/>
      <c r="T91" s="64"/>
    </row>
    <row r="92" spans="8:20" x14ac:dyDescent="0.25">
      <c r="H92" s="64"/>
      <c r="I92" s="64"/>
      <c r="J92" s="64"/>
      <c r="K92" s="64"/>
      <c r="L92" s="64"/>
      <c r="M92" s="64"/>
      <c r="N92" s="64"/>
      <c r="O92" s="64"/>
      <c r="P92" s="64"/>
      <c r="Q92" s="64"/>
      <c r="R92" s="64"/>
      <c r="S92" s="64"/>
      <c r="T92" s="64"/>
    </row>
  </sheetData>
  <mergeCells count="48">
    <mergeCell ref="C20:E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12:AP12"/>
    <mergeCell ref="A4:AP4"/>
    <mergeCell ref="A6:AP6"/>
    <mergeCell ref="A8:AP8"/>
    <mergeCell ref="A9:AP9"/>
    <mergeCell ref="A11:AP11"/>
    <mergeCell ref="I20:L20"/>
    <mergeCell ref="M20:P20"/>
    <mergeCell ref="Q20:T20"/>
    <mergeCell ref="I21:J21"/>
    <mergeCell ref="K21:L21"/>
    <mergeCell ref="M21:N21"/>
    <mergeCell ref="O21:P21"/>
    <mergeCell ref="Q21:R21"/>
    <mergeCell ref="S21:T21"/>
  </mergeCells>
  <conditionalFormatting sqref="C30 C24:D24 F24:AD24">
    <cfRule type="cellIs" dxfId="39" priority="61" operator="greaterThan">
      <formula>0</formula>
    </cfRule>
  </conditionalFormatting>
  <conditionalFormatting sqref="C31">
    <cfRule type="cellIs" dxfId="38" priority="60" operator="greaterThan">
      <formula>0</formula>
    </cfRule>
  </conditionalFormatting>
  <conditionalFormatting sqref="C31">
    <cfRule type="cellIs" dxfId="37" priority="59" operator="greaterThan">
      <formula>0</formula>
    </cfRule>
  </conditionalFormatting>
  <conditionalFormatting sqref="C31">
    <cfRule type="cellIs" dxfId="36" priority="58" operator="greaterThan">
      <formula>0</formula>
    </cfRule>
  </conditionalFormatting>
  <conditionalFormatting sqref="AG24:AH24 AK24:AL24 C25:C64 Z25:Z64 AO24:AO64 C24:D24 U25:X64 F24:AD24">
    <cfRule type="cellIs" dxfId="35" priority="57" operator="notEqual">
      <formula>0</formula>
    </cfRule>
  </conditionalFormatting>
  <conditionalFormatting sqref="AG24:AH24 AK24:AL24">
    <cfRule type="cellIs" dxfId="34" priority="56" operator="greaterThan">
      <formula>0</formula>
    </cfRule>
  </conditionalFormatting>
  <conditionalFormatting sqref="AG24:AH24 AK24:AL24">
    <cfRule type="cellIs" dxfId="33" priority="55" operator="greaterThan">
      <formula>0</formula>
    </cfRule>
  </conditionalFormatting>
  <conditionalFormatting sqref="AG24:AH24 AK24:AL24">
    <cfRule type="cellIs" dxfId="32" priority="54" operator="greaterThan">
      <formula>0</formula>
    </cfRule>
  </conditionalFormatting>
  <conditionalFormatting sqref="D30">
    <cfRule type="cellIs" dxfId="31" priority="53" operator="greaterThan">
      <formula>0</formula>
    </cfRule>
  </conditionalFormatting>
  <conditionalFormatting sqref="D31">
    <cfRule type="cellIs" dxfId="30" priority="52" operator="greaterThan">
      <formula>0</formula>
    </cfRule>
  </conditionalFormatting>
  <conditionalFormatting sqref="D31">
    <cfRule type="cellIs" dxfId="29" priority="51" operator="greaterThan">
      <formula>0</formula>
    </cfRule>
  </conditionalFormatting>
  <conditionalFormatting sqref="D31">
    <cfRule type="cellIs" dxfId="28" priority="50" operator="greaterThan">
      <formula>0</formula>
    </cfRule>
  </conditionalFormatting>
  <conditionalFormatting sqref="D25:D64">
    <cfRule type="cellIs" dxfId="27" priority="49" operator="notEqual">
      <formula>0</formula>
    </cfRule>
  </conditionalFormatting>
  <conditionalFormatting sqref="AA25:AD64 AG25:AH64 AK25:AL64">
    <cfRule type="cellIs" dxfId="26" priority="48" operator="notEqual">
      <formula>0</formula>
    </cfRule>
  </conditionalFormatting>
  <conditionalFormatting sqref="F25:G64">
    <cfRule type="cellIs" dxfId="25" priority="20" operator="greaterThan">
      <formula>0</formula>
    </cfRule>
  </conditionalFormatting>
  <conditionalFormatting sqref="S25:S64">
    <cfRule type="cellIs" dxfId="24" priority="25" operator="notEqual">
      <formula>0</formula>
    </cfRule>
  </conditionalFormatting>
  <conditionalFormatting sqref="Y25:Y64">
    <cfRule type="cellIs" dxfId="23" priority="23" operator="notEqual">
      <formula>0</formula>
    </cfRule>
  </conditionalFormatting>
  <conditionalFormatting sqref="F25:G64">
    <cfRule type="cellIs" dxfId="22" priority="19" operator="notEqual">
      <formula>0</formula>
    </cfRule>
  </conditionalFormatting>
  <conditionalFormatting sqref="AP24:AP64">
    <cfRule type="cellIs" dxfId="21" priority="16" operator="notEqual">
      <formula>0</formula>
    </cfRule>
  </conditionalFormatting>
  <conditionalFormatting sqref="H25:N34 P25:R27 H35:R64 Q30:R34 P29:R29 Q28:R28">
    <cfRule type="cellIs" dxfId="20" priority="15" operator="notEqual">
      <formula>0</formula>
    </cfRule>
  </conditionalFormatting>
  <conditionalFormatting sqref="O25:O34">
    <cfRule type="cellIs" dxfId="19" priority="14" operator="notEqual">
      <formula>0</formula>
    </cfRule>
  </conditionalFormatting>
  <conditionalFormatting sqref="P30:P34">
    <cfRule type="cellIs" dxfId="18" priority="13" operator="notEqual">
      <formula>0</formula>
    </cfRule>
  </conditionalFormatting>
  <conditionalFormatting sqref="P28">
    <cfRule type="cellIs" dxfId="17" priority="12" operator="notEqual">
      <formula>0</formula>
    </cfRule>
  </conditionalFormatting>
  <conditionalFormatting sqref="T25:T27 T35:T64 T29">
    <cfRule type="cellIs" dxfId="16" priority="11" operator="notEqual">
      <formula>0</formula>
    </cfRule>
  </conditionalFormatting>
  <conditionalFormatting sqref="T30:T34">
    <cfRule type="cellIs" dxfId="15" priority="10" operator="notEqual">
      <formula>0</formula>
    </cfRule>
  </conditionalFormatting>
  <conditionalFormatting sqref="T28">
    <cfRule type="cellIs" dxfId="14" priority="9" operator="notEqual">
      <formula>0</formula>
    </cfRule>
  </conditionalFormatting>
  <conditionalFormatting sqref="E24">
    <cfRule type="cellIs" dxfId="13" priority="7" operator="greaterThan">
      <formula>0</formula>
    </cfRule>
  </conditionalFormatting>
  <conditionalFormatting sqref="E24">
    <cfRule type="cellIs" dxfId="11" priority="6" operator="notEqual">
      <formula>0</formula>
    </cfRule>
  </conditionalFormatting>
  <conditionalFormatting sqref="E30">
    <cfRule type="cellIs" dxfId="9" priority="5" operator="greaterThan">
      <formula>0</formula>
    </cfRule>
  </conditionalFormatting>
  <conditionalFormatting sqref="E31">
    <cfRule type="cellIs" dxfId="7" priority="4" operator="greaterThan">
      <formula>0</formula>
    </cfRule>
  </conditionalFormatting>
  <conditionalFormatting sqref="E31">
    <cfRule type="cellIs" dxfId="5" priority="3" operator="greaterThan">
      <formula>0</formula>
    </cfRule>
  </conditionalFormatting>
  <conditionalFormatting sqref="E31">
    <cfRule type="cellIs" dxfId="3" priority="2" operator="greaterThan">
      <formula>0</formula>
    </cfRule>
  </conditionalFormatting>
  <conditionalFormatting sqref="E25:E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15"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3" style="18" customWidth="1"/>
    <col min="15" max="15" width="13.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0.7109375" style="18" customWidth="1"/>
    <col min="25" max="25" width="16.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2" t="s">
        <v>66</v>
      </c>
    </row>
    <row r="2" spans="1:48" ht="18.75" x14ac:dyDescent="0.3">
      <c r="AV2" s="14" t="s">
        <v>8</v>
      </c>
    </row>
    <row r="3" spans="1:48" ht="18.75" x14ac:dyDescent="0.3">
      <c r="AV3" s="14" t="s">
        <v>65</v>
      </c>
    </row>
    <row r="4" spans="1:48" ht="18.75" x14ac:dyDescent="0.3">
      <c r="AV4" s="14"/>
    </row>
    <row r="5" spans="1:48" ht="18.75" customHeight="1" x14ac:dyDescent="0.25">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4"/>
    </row>
    <row r="7" spans="1:48" ht="18.75" x14ac:dyDescent="0.25">
      <c r="A7" s="399" t="s">
        <v>7</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396" t="s">
        <v>6</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x14ac:dyDescent="0.25">
      <c r="A12" s="403" t="str">
        <f>'1. паспорт местоположение'!A12:C12</f>
        <v>Н_16-0190</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396" t="s">
        <v>5</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row>
    <row r="16" spans="1:48" ht="15.75" x14ac:dyDescent="0.25">
      <c r="A16" s="396" t="s">
        <v>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5"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5" customFormat="1" x14ac:dyDescent="0.25">
      <c r="A21" s="501" t="s">
        <v>503</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50</v>
      </c>
      <c r="B22" s="505" t="s">
        <v>22</v>
      </c>
      <c r="C22" s="502" t="s">
        <v>49</v>
      </c>
      <c r="D22" s="502" t="s">
        <v>48</v>
      </c>
      <c r="E22" s="508" t="s">
        <v>514</v>
      </c>
      <c r="F22" s="509"/>
      <c r="G22" s="509"/>
      <c r="H22" s="509"/>
      <c r="I22" s="509"/>
      <c r="J22" s="509"/>
      <c r="K22" s="509"/>
      <c r="L22" s="510"/>
      <c r="M22" s="502" t="s">
        <v>47</v>
      </c>
      <c r="N22" s="502" t="s">
        <v>46</v>
      </c>
      <c r="O22" s="502" t="s">
        <v>45</v>
      </c>
      <c r="P22" s="511" t="s">
        <v>254</v>
      </c>
      <c r="Q22" s="511" t="s">
        <v>44</v>
      </c>
      <c r="R22" s="511" t="s">
        <v>43</v>
      </c>
      <c r="S22" s="511" t="s">
        <v>42</v>
      </c>
      <c r="T22" s="511"/>
      <c r="U22" s="512" t="s">
        <v>41</v>
      </c>
      <c r="V22" s="512" t="s">
        <v>40</v>
      </c>
      <c r="W22" s="511" t="s">
        <v>39</v>
      </c>
      <c r="X22" s="511" t="s">
        <v>38</v>
      </c>
      <c r="Y22" s="511" t="s">
        <v>37</v>
      </c>
      <c r="Z22" s="525"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5" t="s">
        <v>23</v>
      </c>
    </row>
    <row r="23" spans="1:48" s="25" customFormat="1" ht="64.5" customHeight="1" x14ac:dyDescent="0.25">
      <c r="A23" s="503"/>
      <c r="B23" s="506"/>
      <c r="C23" s="503"/>
      <c r="D23" s="503"/>
      <c r="E23" s="517" t="s">
        <v>21</v>
      </c>
      <c r="F23" s="519" t="s">
        <v>126</v>
      </c>
      <c r="G23" s="519" t="s">
        <v>125</v>
      </c>
      <c r="H23" s="519" t="s">
        <v>124</v>
      </c>
      <c r="I23" s="523" t="s">
        <v>424</v>
      </c>
      <c r="J23" s="523" t="s">
        <v>425</v>
      </c>
      <c r="K23" s="523" t="s">
        <v>426</v>
      </c>
      <c r="L23" s="519" t="s">
        <v>773</v>
      </c>
      <c r="M23" s="503"/>
      <c r="N23" s="503"/>
      <c r="O23" s="503"/>
      <c r="P23" s="511"/>
      <c r="Q23" s="511"/>
      <c r="R23" s="511"/>
      <c r="S23" s="521" t="s">
        <v>2</v>
      </c>
      <c r="T23" s="521" t="s">
        <v>9</v>
      </c>
      <c r="U23" s="512"/>
      <c r="V23" s="512"/>
      <c r="W23" s="511"/>
      <c r="X23" s="511"/>
      <c r="Y23" s="511"/>
      <c r="Z23" s="511"/>
      <c r="AA23" s="511"/>
      <c r="AB23" s="511"/>
      <c r="AC23" s="511"/>
      <c r="AD23" s="511"/>
      <c r="AE23" s="511"/>
      <c r="AF23" s="511" t="s">
        <v>20</v>
      </c>
      <c r="AG23" s="511"/>
      <c r="AH23" s="511" t="s">
        <v>19</v>
      </c>
      <c r="AI23" s="511"/>
      <c r="AJ23" s="502" t="s">
        <v>18</v>
      </c>
      <c r="AK23" s="502" t="s">
        <v>17</v>
      </c>
      <c r="AL23" s="502" t="s">
        <v>16</v>
      </c>
      <c r="AM23" s="502" t="s">
        <v>15</v>
      </c>
      <c r="AN23" s="502" t="s">
        <v>14</v>
      </c>
      <c r="AO23" s="502" t="s">
        <v>13</v>
      </c>
      <c r="AP23" s="502" t="s">
        <v>12</v>
      </c>
      <c r="AQ23" s="513" t="s">
        <v>9</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54" t="s">
        <v>11</v>
      </c>
      <c r="AG24" s="154" t="s">
        <v>10</v>
      </c>
      <c r="AH24" s="155" t="s">
        <v>2</v>
      </c>
      <c r="AI24" s="155" t="s">
        <v>9</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90" x14ac:dyDescent="0.2">
      <c r="A26" s="22">
        <v>1</v>
      </c>
      <c r="B26" s="20" t="s">
        <v>687</v>
      </c>
      <c r="C26" s="20" t="s">
        <v>62</v>
      </c>
      <c r="D26" s="385">
        <f>'6.1. Паспорт сетевой график'!H53</f>
        <v>43100</v>
      </c>
      <c r="E26" s="315"/>
      <c r="F26" s="315"/>
      <c r="G26" s="315">
        <v>3.06</v>
      </c>
      <c r="H26" s="315"/>
      <c r="I26" s="315"/>
      <c r="J26" s="315"/>
      <c r="K26" s="315">
        <v>7.43</v>
      </c>
      <c r="L26" s="22">
        <v>12</v>
      </c>
      <c r="M26" s="330" t="s">
        <v>689</v>
      </c>
      <c r="N26" s="330" t="s">
        <v>699</v>
      </c>
      <c r="O26" s="330" t="s">
        <v>524</v>
      </c>
      <c r="P26" s="331">
        <v>27900</v>
      </c>
      <c r="Q26" s="330" t="s">
        <v>678</v>
      </c>
      <c r="R26" s="331">
        <v>27067.75</v>
      </c>
      <c r="S26" s="330" t="s">
        <v>691</v>
      </c>
      <c r="T26" s="330" t="s">
        <v>731</v>
      </c>
      <c r="U26" s="332"/>
      <c r="V26" s="332">
        <v>1</v>
      </c>
      <c r="W26" s="330" t="s">
        <v>701</v>
      </c>
      <c r="X26" s="331">
        <v>26198.7</v>
      </c>
      <c r="Y26" s="330"/>
      <c r="Z26" s="333"/>
      <c r="AA26" s="331"/>
      <c r="AB26" s="331"/>
      <c r="AC26" s="331" t="s">
        <v>732</v>
      </c>
      <c r="AD26" s="331">
        <v>26198.7</v>
      </c>
      <c r="AE26" s="331">
        <v>26198.7</v>
      </c>
      <c r="AF26" s="332" t="s">
        <v>733</v>
      </c>
      <c r="AG26" s="330" t="s">
        <v>694</v>
      </c>
      <c r="AH26" s="333" t="s">
        <v>734</v>
      </c>
      <c r="AI26" s="333">
        <v>42510</v>
      </c>
      <c r="AJ26" s="333" t="s">
        <v>735</v>
      </c>
      <c r="AK26" s="333">
        <v>42552</v>
      </c>
      <c r="AL26" s="330" t="s">
        <v>736</v>
      </c>
      <c r="AM26" s="330" t="s">
        <v>737</v>
      </c>
      <c r="AN26" s="333" t="s">
        <v>738</v>
      </c>
      <c r="AO26" s="330" t="s">
        <v>739</v>
      </c>
      <c r="AP26" s="333">
        <v>42535</v>
      </c>
      <c r="AQ26" s="333">
        <v>42535</v>
      </c>
      <c r="AR26" s="333">
        <v>42535</v>
      </c>
      <c r="AS26" s="333">
        <v>42535</v>
      </c>
      <c r="AT26" s="333">
        <v>42612</v>
      </c>
      <c r="AU26" s="330"/>
      <c r="AV26" s="330"/>
    </row>
    <row r="27" spans="1:48" s="19" customFormat="1" ht="78.75" x14ac:dyDescent="0.2">
      <c r="A27" s="22">
        <v>2</v>
      </c>
      <c r="B27" s="20" t="s">
        <v>687</v>
      </c>
      <c r="C27" s="20" t="s">
        <v>62</v>
      </c>
      <c r="D27" s="385">
        <f>D26</f>
        <v>43100</v>
      </c>
      <c r="E27" s="315"/>
      <c r="F27" s="315"/>
      <c r="G27" s="315">
        <f>G26</f>
        <v>3.06</v>
      </c>
      <c r="H27" s="315"/>
      <c r="I27" s="315"/>
      <c r="J27" s="315"/>
      <c r="K27" s="315">
        <f>K26</f>
        <v>7.43</v>
      </c>
      <c r="L27" s="22">
        <f>L26</f>
        <v>12</v>
      </c>
      <c r="M27" s="330" t="s">
        <v>689</v>
      </c>
      <c r="N27" s="330" t="s">
        <v>690</v>
      </c>
      <c r="O27" s="330" t="s">
        <v>524</v>
      </c>
      <c r="P27" s="331">
        <v>495</v>
      </c>
      <c r="Q27" s="330" t="s">
        <v>678</v>
      </c>
      <c r="R27" s="331">
        <v>437.86</v>
      </c>
      <c r="S27" s="330" t="s">
        <v>691</v>
      </c>
      <c r="T27" s="330" t="s">
        <v>691</v>
      </c>
      <c r="U27" s="332"/>
      <c r="V27" s="332">
        <v>2</v>
      </c>
      <c r="W27" s="330" t="s">
        <v>692</v>
      </c>
      <c r="X27" s="331">
        <v>434</v>
      </c>
      <c r="Y27" s="330"/>
      <c r="Z27" s="333"/>
      <c r="AA27" s="331"/>
      <c r="AB27" s="331"/>
      <c r="AC27" s="331" t="s">
        <v>692</v>
      </c>
      <c r="AD27" s="331">
        <v>434</v>
      </c>
      <c r="AE27" s="331">
        <v>434</v>
      </c>
      <c r="AF27" s="332" t="s">
        <v>693</v>
      </c>
      <c r="AG27" s="330" t="s">
        <v>694</v>
      </c>
      <c r="AH27" s="333" t="s">
        <v>695</v>
      </c>
      <c r="AI27" s="333">
        <v>42489</v>
      </c>
      <c r="AJ27" s="333" t="s">
        <v>696</v>
      </c>
      <c r="AK27" s="333">
        <v>42527</v>
      </c>
      <c r="AL27" s="330"/>
      <c r="AM27" s="330"/>
      <c r="AN27" s="333"/>
      <c r="AO27" s="330"/>
      <c r="AP27" s="333" t="s">
        <v>697</v>
      </c>
      <c r="AQ27" s="333" t="s">
        <v>697</v>
      </c>
      <c r="AR27" s="333" t="s">
        <v>697</v>
      </c>
      <c r="AS27" s="333" t="s">
        <v>697</v>
      </c>
      <c r="AT27" s="333">
        <v>42612</v>
      </c>
      <c r="AU27" s="330"/>
      <c r="AV27" s="330"/>
    </row>
    <row r="28" spans="1:48" s="19" customFormat="1" ht="22.5" x14ac:dyDescent="0.2">
      <c r="A28" s="22"/>
      <c r="B28" s="20"/>
      <c r="C28" s="20"/>
      <c r="D28" s="385"/>
      <c r="E28" s="315"/>
      <c r="F28" s="315"/>
      <c r="G28" s="315"/>
      <c r="H28" s="315"/>
      <c r="I28" s="315"/>
      <c r="J28" s="315"/>
      <c r="K28" s="315"/>
      <c r="L28" s="22"/>
      <c r="M28" s="330"/>
      <c r="N28" s="330"/>
      <c r="O28" s="330"/>
      <c r="P28" s="331"/>
      <c r="Q28" s="330"/>
      <c r="R28" s="331"/>
      <c r="S28" s="330"/>
      <c r="T28" s="330"/>
      <c r="U28" s="332"/>
      <c r="V28" s="332"/>
      <c r="W28" s="330" t="s">
        <v>698</v>
      </c>
      <c r="X28" s="331">
        <v>437.86</v>
      </c>
      <c r="Y28" s="330"/>
      <c r="Z28" s="333"/>
      <c r="AA28" s="331"/>
      <c r="AB28" s="331"/>
      <c r="AC28" s="331"/>
      <c r="AD28" s="331"/>
      <c r="AE28" s="331"/>
      <c r="AF28" s="332"/>
      <c r="AG28" s="330"/>
      <c r="AH28" s="333"/>
      <c r="AI28" s="333"/>
      <c r="AJ28" s="333"/>
      <c r="AK28" s="333"/>
      <c r="AL28" s="330"/>
      <c r="AM28" s="330"/>
      <c r="AN28" s="333"/>
      <c r="AO28" s="330"/>
      <c r="AP28" s="333"/>
      <c r="AQ28" s="333"/>
      <c r="AR28" s="333"/>
      <c r="AS28" s="333"/>
      <c r="AT28" s="333"/>
      <c r="AU28" s="330"/>
      <c r="AV28" s="330"/>
    </row>
    <row r="29" spans="1:48" s="19" customFormat="1" ht="90" x14ac:dyDescent="0.2">
      <c r="A29" s="22">
        <v>3</v>
      </c>
      <c r="B29" s="20" t="s">
        <v>687</v>
      </c>
      <c r="C29" s="20" t="s">
        <v>62</v>
      </c>
      <c r="D29" s="385">
        <f>D26</f>
        <v>43100</v>
      </c>
      <c r="E29" s="315"/>
      <c r="F29" s="315"/>
      <c r="G29" s="315">
        <f>G26</f>
        <v>3.06</v>
      </c>
      <c r="H29" s="315"/>
      <c r="I29" s="315"/>
      <c r="J29" s="315"/>
      <c r="K29" s="315">
        <f>K26</f>
        <v>7.43</v>
      </c>
      <c r="L29" s="22">
        <f>L26</f>
        <v>12</v>
      </c>
      <c r="M29" s="330" t="s">
        <v>689</v>
      </c>
      <c r="N29" s="330" t="s">
        <v>699</v>
      </c>
      <c r="O29" s="330" t="s">
        <v>524</v>
      </c>
      <c r="P29" s="331">
        <v>27900</v>
      </c>
      <c r="Q29" s="330" t="s">
        <v>678</v>
      </c>
      <c r="R29" s="331">
        <v>27067.75</v>
      </c>
      <c r="S29" s="330" t="s">
        <v>700</v>
      </c>
      <c r="T29" s="330" t="s">
        <v>700</v>
      </c>
      <c r="U29" s="332"/>
      <c r="V29" s="332">
        <v>1</v>
      </c>
      <c r="W29" s="330" t="s">
        <v>701</v>
      </c>
      <c r="X29" s="331">
        <v>27064.02</v>
      </c>
      <c r="Y29" s="330" t="s">
        <v>701</v>
      </c>
      <c r="Z29" s="333"/>
      <c r="AA29" s="331"/>
      <c r="AB29" s="331"/>
      <c r="AC29" s="331"/>
      <c r="AD29" s="331"/>
      <c r="AE29" s="331"/>
      <c r="AF29" s="332" t="s">
        <v>702</v>
      </c>
      <c r="AG29" s="330" t="s">
        <v>694</v>
      </c>
      <c r="AH29" s="333" t="s">
        <v>703</v>
      </c>
      <c r="AI29" s="333" t="s">
        <v>703</v>
      </c>
      <c r="AJ29" s="333" t="s">
        <v>704</v>
      </c>
      <c r="AK29" s="333">
        <v>42510</v>
      </c>
      <c r="AL29" s="330"/>
      <c r="AM29" s="330"/>
      <c r="AN29" s="333"/>
      <c r="AO29" s="330"/>
      <c r="AP29" s="333">
        <v>42548</v>
      </c>
      <c r="AQ29" s="333">
        <v>42548</v>
      </c>
      <c r="AR29" s="333">
        <v>42548</v>
      </c>
      <c r="AS29" s="333">
        <v>42548</v>
      </c>
      <c r="AT29" s="333">
        <v>42612</v>
      </c>
      <c r="AU29" s="330"/>
      <c r="AV29" s="330" t="s">
        <v>705</v>
      </c>
    </row>
    <row r="30" spans="1:48" s="19" customFormat="1" ht="90" x14ac:dyDescent="0.2">
      <c r="A30" s="22">
        <v>4</v>
      </c>
      <c r="B30" s="20" t="s">
        <v>688</v>
      </c>
      <c r="C30" s="20" t="s">
        <v>62</v>
      </c>
      <c r="D30" s="385">
        <f>D26</f>
        <v>43100</v>
      </c>
      <c r="E30" s="315"/>
      <c r="F30" s="315"/>
      <c r="G30" s="315">
        <f>G26</f>
        <v>3.06</v>
      </c>
      <c r="H30" s="315"/>
      <c r="I30" s="315"/>
      <c r="J30" s="315"/>
      <c r="K30" s="315">
        <f>K26</f>
        <v>7.43</v>
      </c>
      <c r="L30" s="22">
        <f>L26</f>
        <v>12</v>
      </c>
      <c r="M30" s="330" t="s">
        <v>689</v>
      </c>
      <c r="N30" s="330" t="s">
        <v>706</v>
      </c>
      <c r="O30" s="330" t="s">
        <v>524</v>
      </c>
      <c r="P30" s="331">
        <v>18000</v>
      </c>
      <c r="Q30" s="330" t="s">
        <v>678</v>
      </c>
      <c r="R30" s="331">
        <v>17376.614000000001</v>
      </c>
      <c r="S30" s="330" t="s">
        <v>707</v>
      </c>
      <c r="T30" s="330" t="s">
        <v>707</v>
      </c>
      <c r="U30" s="332"/>
      <c r="V30" s="332">
        <v>5</v>
      </c>
      <c r="W30" s="330" t="s">
        <v>708</v>
      </c>
      <c r="X30" s="331">
        <v>17300</v>
      </c>
      <c r="Y30" s="330"/>
      <c r="Z30" s="333" t="s">
        <v>62</v>
      </c>
      <c r="AA30" s="331">
        <v>17297</v>
      </c>
      <c r="AB30" s="331">
        <v>17297</v>
      </c>
      <c r="AC30" s="331" t="s">
        <v>708</v>
      </c>
      <c r="AD30" s="331">
        <v>17297</v>
      </c>
      <c r="AE30" s="331">
        <v>17297</v>
      </c>
      <c r="AF30" s="332" t="s">
        <v>709</v>
      </c>
      <c r="AG30" s="330" t="s">
        <v>694</v>
      </c>
      <c r="AH30" s="333" t="s">
        <v>710</v>
      </c>
      <c r="AI30" s="333">
        <v>42480</v>
      </c>
      <c r="AJ30" s="333" t="s">
        <v>711</v>
      </c>
      <c r="AK30" s="333">
        <v>42528</v>
      </c>
      <c r="AL30" s="330"/>
      <c r="AM30" s="330"/>
      <c r="AN30" s="333"/>
      <c r="AO30" s="330"/>
      <c r="AP30" s="333">
        <v>42545</v>
      </c>
      <c r="AQ30" s="333">
        <v>42545</v>
      </c>
      <c r="AR30" s="333">
        <v>42545</v>
      </c>
      <c r="AS30" s="333">
        <v>42545</v>
      </c>
      <c r="AT30" s="333">
        <v>42612</v>
      </c>
      <c r="AU30" s="330"/>
      <c r="AV30" s="330"/>
    </row>
    <row r="31" spans="1:48" s="19" customFormat="1" ht="11.25" x14ac:dyDescent="0.2">
      <c r="A31" s="22"/>
      <c r="B31" s="20"/>
      <c r="C31" s="20"/>
      <c r="D31" s="385"/>
      <c r="E31" s="315"/>
      <c r="F31" s="315"/>
      <c r="G31" s="315"/>
      <c r="H31" s="315"/>
      <c r="I31" s="315"/>
      <c r="J31" s="315"/>
      <c r="K31" s="315"/>
      <c r="L31" s="22"/>
      <c r="M31" s="330"/>
      <c r="N31" s="330"/>
      <c r="O31" s="330"/>
      <c r="P31" s="331"/>
      <c r="Q31" s="330"/>
      <c r="R31" s="331"/>
      <c r="S31" s="330"/>
      <c r="T31" s="330"/>
      <c r="U31" s="332"/>
      <c r="V31" s="332"/>
      <c r="W31" s="330" t="s">
        <v>712</v>
      </c>
      <c r="X31" s="331">
        <v>17376</v>
      </c>
      <c r="Y31" s="330"/>
      <c r="Z31" s="333"/>
      <c r="AA31" s="331">
        <v>17376</v>
      </c>
      <c r="AB31" s="331">
        <v>17376</v>
      </c>
      <c r="AC31" s="331"/>
      <c r="AD31" s="331"/>
      <c r="AE31" s="331"/>
      <c r="AF31" s="332"/>
      <c r="AG31" s="330"/>
      <c r="AH31" s="333"/>
      <c r="AI31" s="333"/>
      <c r="AJ31" s="333"/>
      <c r="AK31" s="333"/>
      <c r="AL31" s="330"/>
      <c r="AM31" s="330"/>
      <c r="AN31" s="333"/>
      <c r="AO31" s="330"/>
      <c r="AP31" s="333"/>
      <c r="AQ31" s="333"/>
      <c r="AR31" s="333"/>
      <c r="AS31" s="333"/>
      <c r="AT31" s="333"/>
      <c r="AU31" s="330"/>
      <c r="AV31" s="330"/>
    </row>
    <row r="32" spans="1:48" s="19" customFormat="1" ht="11.25" x14ac:dyDescent="0.2">
      <c r="A32" s="22"/>
      <c r="B32" s="20"/>
      <c r="C32" s="20"/>
      <c r="D32" s="385"/>
      <c r="E32" s="315"/>
      <c r="F32" s="315"/>
      <c r="G32" s="315"/>
      <c r="H32" s="315"/>
      <c r="I32" s="315"/>
      <c r="J32" s="315"/>
      <c r="K32" s="315"/>
      <c r="L32" s="22"/>
      <c r="M32" s="330"/>
      <c r="N32" s="330"/>
      <c r="O32" s="330"/>
      <c r="P32" s="331"/>
      <c r="Q32" s="330"/>
      <c r="R32" s="331"/>
      <c r="S32" s="330"/>
      <c r="T32" s="330"/>
      <c r="U32" s="332"/>
      <c r="V32" s="332"/>
      <c r="W32" s="330" t="s">
        <v>713</v>
      </c>
      <c r="X32" s="331">
        <v>16650.900000000001</v>
      </c>
      <c r="Y32" s="330" t="s">
        <v>713</v>
      </c>
      <c r="Z32" s="333"/>
      <c r="AA32" s="331"/>
      <c r="AB32" s="331"/>
      <c r="AC32" s="331"/>
      <c r="AD32" s="331"/>
      <c r="AE32" s="331"/>
      <c r="AF32" s="332"/>
      <c r="AG32" s="330"/>
      <c r="AH32" s="333"/>
      <c r="AI32" s="333"/>
      <c r="AJ32" s="333"/>
      <c r="AK32" s="333"/>
      <c r="AL32" s="330"/>
      <c r="AM32" s="330"/>
      <c r="AN32" s="333"/>
      <c r="AO32" s="330"/>
      <c r="AP32" s="333"/>
      <c r="AQ32" s="333"/>
      <c r="AR32" s="333"/>
      <c r="AS32" s="333"/>
      <c r="AT32" s="333"/>
      <c r="AU32" s="330"/>
      <c r="AV32" s="330"/>
    </row>
    <row r="33" spans="1:48" s="19" customFormat="1" ht="33.75" x14ac:dyDescent="0.2">
      <c r="A33" s="22"/>
      <c r="B33" s="20"/>
      <c r="C33" s="20"/>
      <c r="D33" s="385"/>
      <c r="E33" s="315"/>
      <c r="F33" s="315"/>
      <c r="G33" s="315"/>
      <c r="H33" s="315"/>
      <c r="I33" s="315"/>
      <c r="J33" s="315"/>
      <c r="K33" s="315"/>
      <c r="L33" s="22"/>
      <c r="M33" s="330"/>
      <c r="N33" s="330"/>
      <c r="O33" s="330"/>
      <c r="P33" s="331"/>
      <c r="Q33" s="330"/>
      <c r="R33" s="331"/>
      <c r="S33" s="330"/>
      <c r="T33" s="330"/>
      <c r="U33" s="332"/>
      <c r="V33" s="332"/>
      <c r="W33" s="330" t="s">
        <v>714</v>
      </c>
      <c r="X33" s="331">
        <v>15244.745000000001</v>
      </c>
      <c r="Y33" s="330" t="s">
        <v>714</v>
      </c>
      <c r="Z33" s="333"/>
      <c r="AA33" s="331"/>
      <c r="AB33" s="331"/>
      <c r="AC33" s="331"/>
      <c r="AD33" s="331"/>
      <c r="AE33" s="331"/>
      <c r="AF33" s="332"/>
      <c r="AG33" s="330"/>
      <c r="AH33" s="333"/>
      <c r="AI33" s="333"/>
      <c r="AJ33" s="333"/>
      <c r="AK33" s="333"/>
      <c r="AL33" s="330"/>
      <c r="AM33" s="330"/>
      <c r="AN33" s="333"/>
      <c r="AO33" s="330"/>
      <c r="AP33" s="333"/>
      <c r="AQ33" s="333"/>
      <c r="AR33" s="333"/>
      <c r="AS33" s="333"/>
      <c r="AT33" s="333"/>
      <c r="AU33" s="330"/>
      <c r="AV33" s="330"/>
    </row>
    <row r="34" spans="1:48" s="19" customFormat="1" ht="11.25" x14ac:dyDescent="0.2">
      <c r="A34" s="22"/>
      <c r="B34" s="20"/>
      <c r="C34" s="20"/>
      <c r="D34" s="385"/>
      <c r="E34" s="315"/>
      <c r="F34" s="315"/>
      <c r="G34" s="315"/>
      <c r="H34" s="315"/>
      <c r="I34" s="315"/>
      <c r="J34" s="315"/>
      <c r="K34" s="315"/>
      <c r="L34" s="22"/>
      <c r="M34" s="330"/>
      <c r="N34" s="330"/>
      <c r="O34" s="330"/>
      <c r="P34" s="331"/>
      <c r="Q34" s="330"/>
      <c r="R34" s="331"/>
      <c r="S34" s="330"/>
      <c r="T34" s="330"/>
      <c r="U34" s="332"/>
      <c r="V34" s="332"/>
      <c r="W34" s="330" t="s">
        <v>715</v>
      </c>
      <c r="X34" s="331">
        <v>15638.95</v>
      </c>
      <c r="Y34" s="330" t="s">
        <v>715</v>
      </c>
      <c r="Z34" s="333"/>
      <c r="AA34" s="331"/>
      <c r="AB34" s="331"/>
      <c r="AC34" s="331"/>
      <c r="AD34" s="331"/>
      <c r="AE34" s="331"/>
      <c r="AF34" s="332"/>
      <c r="AG34" s="330"/>
      <c r="AH34" s="333"/>
      <c r="AI34" s="333"/>
      <c r="AJ34" s="333"/>
      <c r="AK34" s="333"/>
      <c r="AL34" s="330"/>
      <c r="AM34" s="330"/>
      <c r="AN34" s="333"/>
      <c r="AO34" s="330"/>
      <c r="AP34" s="333"/>
      <c r="AQ34" s="333"/>
      <c r="AR34" s="333"/>
      <c r="AS34" s="333"/>
      <c r="AT34" s="333"/>
      <c r="AU34" s="330"/>
      <c r="AV34" s="330"/>
    </row>
    <row r="35" spans="1:48" s="19" customFormat="1" ht="101.25" x14ac:dyDescent="0.2">
      <c r="A35" s="22">
        <v>5</v>
      </c>
      <c r="B35" s="20" t="s">
        <v>688</v>
      </c>
      <c r="C35" s="20" t="s">
        <v>62</v>
      </c>
      <c r="D35" s="385">
        <f>D26</f>
        <v>43100</v>
      </c>
      <c r="E35" s="315"/>
      <c r="F35" s="315"/>
      <c r="G35" s="315">
        <f>G26</f>
        <v>3.06</v>
      </c>
      <c r="H35" s="315"/>
      <c r="I35" s="315"/>
      <c r="J35" s="315"/>
      <c r="K35" s="315">
        <f>K26</f>
        <v>7.43</v>
      </c>
      <c r="L35" s="22">
        <f>L26</f>
        <v>12</v>
      </c>
      <c r="M35" s="330" t="s">
        <v>689</v>
      </c>
      <c r="N35" s="330" t="s">
        <v>716</v>
      </c>
      <c r="O35" s="330" t="s">
        <v>524</v>
      </c>
      <c r="P35" s="331">
        <v>525</v>
      </c>
      <c r="Q35" s="330" t="s">
        <v>678</v>
      </c>
      <c r="R35" s="331">
        <v>506.81700000000001</v>
      </c>
      <c r="S35" s="330" t="s">
        <v>691</v>
      </c>
      <c r="T35" s="330" t="s">
        <v>691</v>
      </c>
      <c r="U35" s="332"/>
      <c r="V35" s="332">
        <v>5</v>
      </c>
      <c r="W35" s="330" t="s">
        <v>717</v>
      </c>
      <c r="X35" s="331">
        <v>432.20299999999997</v>
      </c>
      <c r="Y35" s="330"/>
      <c r="Z35" s="333" t="s">
        <v>62</v>
      </c>
      <c r="AA35" s="331">
        <v>363.68200000000002</v>
      </c>
      <c r="AB35" s="331">
        <v>363.68200000000002</v>
      </c>
      <c r="AC35" s="331" t="s">
        <v>717</v>
      </c>
      <c r="AD35" s="331">
        <v>363.68200000000002</v>
      </c>
      <c r="AE35" s="331">
        <v>363.68200000000002</v>
      </c>
      <c r="AF35" s="332" t="s">
        <v>718</v>
      </c>
      <c r="AG35" s="330" t="s">
        <v>694</v>
      </c>
      <c r="AH35" s="333" t="s">
        <v>710</v>
      </c>
      <c r="AI35" s="333">
        <v>42480</v>
      </c>
      <c r="AJ35" s="333" t="s">
        <v>719</v>
      </c>
      <c r="AK35" s="333">
        <v>42530</v>
      </c>
      <c r="AL35" s="330"/>
      <c r="AM35" s="330"/>
      <c r="AN35" s="333"/>
      <c r="AO35" s="330"/>
      <c r="AP35" s="333">
        <v>42513</v>
      </c>
      <c r="AQ35" s="333">
        <v>42513</v>
      </c>
      <c r="AR35" s="333">
        <v>42513</v>
      </c>
      <c r="AS35" s="333">
        <v>42513</v>
      </c>
      <c r="AT35" s="333">
        <v>42544</v>
      </c>
      <c r="AU35" s="330"/>
      <c r="AV35" s="330"/>
    </row>
    <row r="36" spans="1:48" s="19" customFormat="1" ht="11.25" x14ac:dyDescent="0.2">
      <c r="A36" s="22"/>
      <c r="B36" s="20"/>
      <c r="C36" s="20"/>
      <c r="D36" s="385"/>
      <c r="E36" s="315"/>
      <c r="F36" s="315"/>
      <c r="G36" s="315"/>
      <c r="H36" s="315"/>
      <c r="I36" s="315"/>
      <c r="J36" s="315"/>
      <c r="K36" s="315"/>
      <c r="L36" s="22"/>
      <c r="M36" s="330"/>
      <c r="N36" s="330"/>
      <c r="O36" s="330"/>
      <c r="P36" s="331"/>
      <c r="Q36" s="330"/>
      <c r="R36" s="331"/>
      <c r="S36" s="330"/>
      <c r="T36" s="330"/>
      <c r="U36" s="332"/>
      <c r="V36" s="332"/>
      <c r="W36" s="330" t="s">
        <v>720</v>
      </c>
      <c r="X36" s="331">
        <v>370.142</v>
      </c>
      <c r="Y36" s="330"/>
      <c r="Z36" s="333"/>
      <c r="AA36" s="331">
        <v>370.142</v>
      </c>
      <c r="AB36" s="331">
        <v>370.142</v>
      </c>
      <c r="AC36" s="331"/>
      <c r="AD36" s="331"/>
      <c r="AE36" s="331"/>
      <c r="AF36" s="332"/>
      <c r="AG36" s="330"/>
      <c r="AH36" s="333"/>
      <c r="AI36" s="333"/>
      <c r="AJ36" s="333"/>
      <c r="AK36" s="333"/>
      <c r="AL36" s="330"/>
      <c r="AM36" s="330"/>
      <c r="AN36" s="333"/>
      <c r="AO36" s="330"/>
      <c r="AP36" s="333"/>
      <c r="AQ36" s="333"/>
      <c r="AR36" s="333"/>
      <c r="AS36" s="333"/>
      <c r="AT36" s="333"/>
      <c r="AU36" s="330"/>
      <c r="AV36" s="330"/>
    </row>
    <row r="37" spans="1:48" s="19" customFormat="1" ht="11.25" x14ac:dyDescent="0.2">
      <c r="A37" s="22"/>
      <c r="B37" s="20"/>
      <c r="C37" s="20"/>
      <c r="D37" s="385"/>
      <c r="E37" s="315"/>
      <c r="F37" s="315"/>
      <c r="G37" s="315"/>
      <c r="H37" s="315"/>
      <c r="I37" s="315"/>
      <c r="J37" s="315"/>
      <c r="K37" s="315"/>
      <c r="L37" s="22"/>
      <c r="M37" s="330"/>
      <c r="N37" s="330"/>
      <c r="O37" s="330"/>
      <c r="P37" s="331"/>
      <c r="Q37" s="330"/>
      <c r="R37" s="331"/>
      <c r="S37" s="330"/>
      <c r="T37" s="330"/>
      <c r="U37" s="332"/>
      <c r="V37" s="332"/>
      <c r="W37" s="330" t="s">
        <v>721</v>
      </c>
      <c r="X37" s="331">
        <v>254.529</v>
      </c>
      <c r="Y37" s="330" t="s">
        <v>721</v>
      </c>
      <c r="Z37" s="333"/>
      <c r="AA37" s="331"/>
      <c r="AB37" s="331"/>
      <c r="AC37" s="331"/>
      <c r="AD37" s="331"/>
      <c r="AE37" s="331"/>
      <c r="AF37" s="332"/>
      <c r="AG37" s="330"/>
      <c r="AH37" s="333"/>
      <c r="AI37" s="333"/>
      <c r="AJ37" s="333"/>
      <c r="AK37" s="333"/>
      <c r="AL37" s="330"/>
      <c r="AM37" s="330"/>
      <c r="AN37" s="333"/>
      <c r="AO37" s="330"/>
      <c r="AP37" s="333"/>
      <c r="AQ37" s="333"/>
      <c r="AR37" s="333"/>
      <c r="AS37" s="333"/>
      <c r="AT37" s="333"/>
      <c r="AU37" s="330"/>
      <c r="AV37" s="330"/>
    </row>
    <row r="38" spans="1:48" s="19" customFormat="1" ht="11.25" x14ac:dyDescent="0.2">
      <c r="A38" s="22"/>
      <c r="B38" s="20"/>
      <c r="C38" s="20"/>
      <c r="D38" s="385"/>
      <c r="E38" s="315"/>
      <c r="F38" s="315"/>
      <c r="G38" s="315"/>
      <c r="H38" s="315"/>
      <c r="I38" s="315"/>
      <c r="J38" s="315"/>
      <c r="K38" s="315"/>
      <c r="L38" s="22"/>
      <c r="M38" s="330"/>
      <c r="N38" s="330"/>
      <c r="O38" s="330"/>
      <c r="P38" s="331"/>
      <c r="Q38" s="330"/>
      <c r="R38" s="331"/>
      <c r="S38" s="330"/>
      <c r="T38" s="330"/>
      <c r="U38" s="332"/>
      <c r="V38" s="332"/>
      <c r="W38" s="330" t="s">
        <v>722</v>
      </c>
      <c r="X38" s="331">
        <v>434.00599999999997</v>
      </c>
      <c r="Y38" s="330"/>
      <c r="Z38" s="333"/>
      <c r="AA38" s="331">
        <v>423.42099999999999</v>
      </c>
      <c r="AB38" s="331">
        <v>423.42099999999999</v>
      </c>
      <c r="AC38" s="331"/>
      <c r="AD38" s="331"/>
      <c r="AE38" s="331"/>
      <c r="AF38" s="332"/>
      <c r="AG38" s="330"/>
      <c r="AH38" s="333"/>
      <c r="AI38" s="333"/>
      <c r="AJ38" s="333"/>
      <c r="AK38" s="333"/>
      <c r="AL38" s="330"/>
      <c r="AM38" s="330"/>
      <c r="AN38" s="333"/>
      <c r="AO38" s="330"/>
      <c r="AP38" s="333"/>
      <c r="AQ38" s="333"/>
      <c r="AR38" s="333"/>
      <c r="AS38" s="333"/>
      <c r="AT38" s="333"/>
      <c r="AU38" s="330"/>
      <c r="AV38" s="330"/>
    </row>
    <row r="39" spans="1:48" s="19" customFormat="1" ht="22.5" x14ac:dyDescent="0.2">
      <c r="A39" s="22"/>
      <c r="B39" s="20"/>
      <c r="C39" s="20"/>
      <c r="D39" s="385"/>
      <c r="E39" s="315"/>
      <c r="F39" s="315"/>
      <c r="G39" s="315"/>
      <c r="H39" s="315"/>
      <c r="I39" s="315"/>
      <c r="J39" s="315"/>
      <c r="K39" s="315"/>
      <c r="L39" s="22"/>
      <c r="M39" s="330"/>
      <c r="N39" s="330"/>
      <c r="O39" s="330"/>
      <c r="P39" s="331"/>
      <c r="Q39" s="330"/>
      <c r="R39" s="331"/>
      <c r="S39" s="330"/>
      <c r="T39" s="330"/>
      <c r="U39" s="332"/>
      <c r="V39" s="332"/>
      <c r="W39" s="330" t="s">
        <v>723</v>
      </c>
      <c r="X39" s="331">
        <v>504.64699999999999</v>
      </c>
      <c r="Y39" s="330"/>
      <c r="Z39" s="333"/>
      <c r="AA39" s="331">
        <v>504.64699999999999</v>
      </c>
      <c r="AB39" s="331">
        <v>504.64699999999999</v>
      </c>
      <c r="AC39" s="331"/>
      <c r="AD39" s="331"/>
      <c r="AE39" s="331"/>
      <c r="AF39" s="332"/>
      <c r="AG39" s="330"/>
      <c r="AH39" s="333"/>
      <c r="AI39" s="333"/>
      <c r="AJ39" s="333"/>
      <c r="AK39" s="333"/>
      <c r="AL39" s="330"/>
      <c r="AM39" s="330"/>
      <c r="AN39" s="333"/>
      <c r="AO39" s="330"/>
      <c r="AP39" s="333"/>
      <c r="AQ39" s="333"/>
      <c r="AR39" s="333"/>
      <c r="AS39" s="333"/>
      <c r="AT39" s="333"/>
      <c r="AU39" s="330"/>
      <c r="AV39" s="330"/>
    </row>
    <row r="40" spans="1:48" s="19" customFormat="1" ht="45" x14ac:dyDescent="0.2">
      <c r="A40" s="22">
        <v>6</v>
      </c>
      <c r="B40" s="20" t="s">
        <v>688</v>
      </c>
      <c r="C40" s="20" t="s">
        <v>62</v>
      </c>
      <c r="D40" s="385">
        <f>D26</f>
        <v>43100</v>
      </c>
      <c r="E40" s="315"/>
      <c r="F40" s="315"/>
      <c r="G40" s="315">
        <f>G26</f>
        <v>3.06</v>
      </c>
      <c r="H40" s="315"/>
      <c r="I40" s="315"/>
      <c r="J40" s="315"/>
      <c r="K40" s="315">
        <f>K26</f>
        <v>7.43</v>
      </c>
      <c r="L40" s="22">
        <f>L26</f>
        <v>12</v>
      </c>
      <c r="M40" s="330" t="s">
        <v>724</v>
      </c>
      <c r="N40" s="330" t="s">
        <v>725</v>
      </c>
      <c r="O40" s="330" t="s">
        <v>524</v>
      </c>
      <c r="P40" s="331">
        <v>29424.816999999999</v>
      </c>
      <c r="Q40" s="330" t="s">
        <v>678</v>
      </c>
      <c r="R40" s="331">
        <v>28219.315999999999</v>
      </c>
      <c r="S40" s="330" t="s">
        <v>707</v>
      </c>
      <c r="T40" s="330" t="s">
        <v>707</v>
      </c>
      <c r="U40" s="332" t="s">
        <v>61</v>
      </c>
      <c r="V40" s="332">
        <v>2</v>
      </c>
      <c r="W40" s="330" t="s">
        <v>726</v>
      </c>
      <c r="X40" s="331">
        <v>28210</v>
      </c>
      <c r="Y40" s="330"/>
      <c r="Z40" s="333" t="s">
        <v>62</v>
      </c>
      <c r="AA40" s="331">
        <v>28210</v>
      </c>
      <c r="AB40" s="331">
        <v>28210</v>
      </c>
      <c r="AC40" s="331" t="s">
        <v>726</v>
      </c>
      <c r="AD40" s="331">
        <v>28210</v>
      </c>
      <c r="AE40" s="331">
        <v>0</v>
      </c>
      <c r="AF40" s="332" t="s">
        <v>727</v>
      </c>
      <c r="AG40" s="330" t="s">
        <v>694</v>
      </c>
      <c r="AH40" s="333" t="s">
        <v>728</v>
      </c>
      <c r="AI40" s="333">
        <v>42613</v>
      </c>
      <c r="AJ40" s="333" t="s">
        <v>729</v>
      </c>
      <c r="AK40" s="333">
        <v>42650</v>
      </c>
      <c r="AL40" s="330"/>
      <c r="AM40" s="330"/>
      <c r="AN40" s="333"/>
      <c r="AO40" s="330"/>
      <c r="AP40" s="333">
        <v>42667</v>
      </c>
      <c r="AQ40" s="333">
        <v>42667</v>
      </c>
      <c r="AR40" s="333">
        <v>42667</v>
      </c>
      <c r="AS40" s="333">
        <v>42667</v>
      </c>
      <c r="AT40" s="333">
        <v>42760</v>
      </c>
      <c r="AU40" s="330"/>
      <c r="AV40" s="330"/>
    </row>
    <row r="41" spans="1:48" s="19" customFormat="1" ht="11.25" x14ac:dyDescent="0.2">
      <c r="A41" s="22"/>
      <c r="B41" s="20"/>
      <c r="C41" s="20"/>
      <c r="D41" s="385"/>
      <c r="E41" s="315"/>
      <c r="F41" s="315"/>
      <c r="G41" s="315"/>
      <c r="H41" s="315"/>
      <c r="I41" s="315"/>
      <c r="J41" s="315"/>
      <c r="K41" s="315"/>
      <c r="L41" s="315"/>
      <c r="M41" s="20"/>
      <c r="N41" s="20"/>
      <c r="O41" s="20"/>
      <c r="P41" s="23"/>
      <c r="Q41" s="20"/>
      <c r="R41" s="23"/>
      <c r="S41" s="20"/>
      <c r="T41" s="20"/>
      <c r="U41" s="22"/>
      <c r="V41" s="22"/>
      <c r="W41" s="20" t="s">
        <v>730</v>
      </c>
      <c r="X41" s="23">
        <v>28219.315999999999</v>
      </c>
      <c r="Y41" s="20"/>
      <c r="Z41" s="21"/>
      <c r="AA41" s="23">
        <v>28219.315999999999</v>
      </c>
      <c r="AB41" s="23">
        <v>28219.315999999999</v>
      </c>
      <c r="AC41" s="23"/>
      <c r="AD41" s="23"/>
      <c r="AE41" s="23"/>
      <c r="AF41" s="22"/>
      <c r="AG41" s="20"/>
      <c r="AH41" s="21"/>
      <c r="AI41" s="21"/>
      <c r="AJ41" s="21"/>
      <c r="AK41" s="21"/>
      <c r="AL41" s="20"/>
      <c r="AM41" s="20"/>
      <c r="AN41" s="21"/>
      <c r="AO41" s="20"/>
      <c r="AP41" s="21"/>
      <c r="AQ41" s="21"/>
      <c r="AR41" s="21"/>
      <c r="AS41" s="21"/>
      <c r="AT41" s="21"/>
      <c r="AU41" s="20"/>
      <c r="AV41"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6" sqref="B26"/>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2" t="s">
        <v>66</v>
      </c>
    </row>
    <row r="2" spans="1:8" ht="18.75" x14ac:dyDescent="0.3">
      <c r="B2" s="14" t="s">
        <v>8</v>
      </c>
    </row>
    <row r="3" spans="1:8" ht="18.75" x14ac:dyDescent="0.3">
      <c r="B3" s="14" t="s">
        <v>522</v>
      </c>
    </row>
    <row r="4" spans="1:8" x14ac:dyDescent="0.25">
      <c r="B4" s="47"/>
    </row>
    <row r="5" spans="1:8" ht="18.75" x14ac:dyDescent="0.3">
      <c r="A5" s="526" t="str">
        <f>'7. Паспорт отчет о закупке'!A5:AV5</f>
        <v>Год раскрытия информации: 2020 год</v>
      </c>
      <c r="B5" s="526"/>
      <c r="C5" s="89"/>
      <c r="D5" s="89"/>
      <c r="E5" s="89"/>
      <c r="F5" s="89"/>
      <c r="G5" s="89"/>
      <c r="H5" s="89"/>
    </row>
    <row r="6" spans="1:8" ht="18.75" x14ac:dyDescent="0.3">
      <c r="A6" s="285"/>
      <c r="B6" s="285"/>
      <c r="C6" s="285"/>
      <c r="D6" s="285"/>
      <c r="E6" s="285"/>
      <c r="F6" s="285"/>
      <c r="G6" s="285"/>
      <c r="H6" s="285"/>
    </row>
    <row r="7" spans="1:8" ht="18.75" x14ac:dyDescent="0.25">
      <c r="A7" s="399" t="s">
        <v>7</v>
      </c>
      <c r="B7" s="399"/>
      <c r="C7" s="160"/>
      <c r="D7" s="160"/>
      <c r="E7" s="160"/>
      <c r="F7" s="160"/>
      <c r="G7" s="160"/>
      <c r="H7" s="160"/>
    </row>
    <row r="8" spans="1:8" ht="18.75" x14ac:dyDescent="0.25">
      <c r="A8" s="160"/>
      <c r="B8" s="160"/>
      <c r="C8" s="160"/>
      <c r="D8" s="160"/>
      <c r="E8" s="160"/>
      <c r="F8" s="160"/>
      <c r="G8" s="160"/>
      <c r="H8" s="160"/>
    </row>
    <row r="9" spans="1:8" x14ac:dyDescent="0.25">
      <c r="A9" s="403" t="str">
        <f>'1. паспорт местоположение'!A9:C9</f>
        <v>Акционерное общество "Янтарьэнерго" ДЗО  ПАО "Россети"</v>
      </c>
      <c r="B9" s="403"/>
      <c r="C9" s="177"/>
      <c r="D9" s="177"/>
      <c r="E9" s="177"/>
      <c r="F9" s="177"/>
      <c r="G9" s="177"/>
      <c r="H9" s="177"/>
    </row>
    <row r="10" spans="1:8" x14ac:dyDescent="0.25">
      <c r="A10" s="396" t="s">
        <v>6</v>
      </c>
      <c r="B10" s="396"/>
      <c r="C10" s="162"/>
      <c r="D10" s="162"/>
      <c r="E10" s="162"/>
      <c r="F10" s="162"/>
      <c r="G10" s="162"/>
      <c r="H10" s="162"/>
    </row>
    <row r="11" spans="1:8" ht="18.75" x14ac:dyDescent="0.25">
      <c r="A11" s="160"/>
      <c r="B11" s="160"/>
      <c r="C11" s="160"/>
      <c r="D11" s="160"/>
      <c r="E11" s="160"/>
      <c r="F11" s="160"/>
      <c r="G11" s="160"/>
      <c r="H11" s="160"/>
    </row>
    <row r="12" spans="1:8" x14ac:dyDescent="0.25">
      <c r="A12" s="403" t="str">
        <f>'1. паспорт местоположение'!A12:C12</f>
        <v>Н_16-0190</v>
      </c>
      <c r="B12" s="403"/>
      <c r="C12" s="177"/>
      <c r="D12" s="177"/>
      <c r="E12" s="177"/>
      <c r="F12" s="177"/>
      <c r="G12" s="177"/>
      <c r="H12" s="177"/>
    </row>
    <row r="13" spans="1:8" x14ac:dyDescent="0.25">
      <c r="A13" s="396" t="s">
        <v>5</v>
      </c>
      <c r="B13" s="396"/>
      <c r="C13" s="162"/>
      <c r="D13" s="162"/>
      <c r="E13" s="162"/>
      <c r="F13" s="162"/>
      <c r="G13" s="162"/>
      <c r="H13" s="162"/>
    </row>
    <row r="14" spans="1:8" ht="18.75" x14ac:dyDescent="0.25">
      <c r="A14" s="10"/>
      <c r="B14" s="10"/>
      <c r="C14" s="10"/>
      <c r="D14" s="10"/>
      <c r="E14" s="10"/>
      <c r="F14" s="10"/>
      <c r="G14" s="10"/>
      <c r="H14" s="10"/>
    </row>
    <row r="15" spans="1:8" ht="39" customHeight="1" x14ac:dyDescent="0.25">
      <c r="A15" s="527"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528"/>
      <c r="C15" s="177"/>
      <c r="D15" s="177"/>
      <c r="E15" s="177"/>
      <c r="F15" s="177"/>
      <c r="G15" s="177"/>
      <c r="H15" s="177"/>
    </row>
    <row r="16" spans="1:8" x14ac:dyDescent="0.25">
      <c r="A16" s="396" t="s">
        <v>4</v>
      </c>
      <c r="B16" s="396"/>
      <c r="C16" s="162"/>
      <c r="D16" s="162"/>
      <c r="E16" s="162"/>
      <c r="F16" s="162"/>
      <c r="G16" s="162"/>
      <c r="H16" s="162"/>
    </row>
    <row r="17" spans="1:2" x14ac:dyDescent="0.25">
      <c r="B17" s="129"/>
    </row>
    <row r="18" spans="1:2" x14ac:dyDescent="0.25">
      <c r="A18" s="529" t="s">
        <v>504</v>
      </c>
      <c r="B18" s="530"/>
    </row>
    <row r="19" spans="1:2" x14ac:dyDescent="0.25">
      <c r="B19" s="47"/>
    </row>
    <row r="20" spans="1:2" ht="16.5" thickBot="1" x14ac:dyDescent="0.3">
      <c r="B20" s="130"/>
    </row>
    <row r="21" spans="1:2" ht="55.5" customHeight="1" thickBot="1" x14ac:dyDescent="0.3">
      <c r="A21" s="131" t="s">
        <v>379</v>
      </c>
      <c r="B21" s="282" t="str">
        <f>A15</f>
        <v>Строительство РТП 10/0,4 кВ и 3-х КТП 10/0,4 кВ (новых), КЛ-10 кВ от ПС О-35 "Космодемьянская" и от РТП (новой) в Центральном районе г. Калининграда</v>
      </c>
    </row>
    <row r="22" spans="1:2" ht="16.5" thickBot="1" x14ac:dyDescent="0.3">
      <c r="A22" s="131" t="s">
        <v>380</v>
      </c>
      <c r="B22" s="13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1" t="s">
        <v>345</v>
      </c>
      <c r="B23" s="133" t="s">
        <v>683</v>
      </c>
    </row>
    <row r="24" spans="1:2" ht="16.5" thickBot="1" x14ac:dyDescent="0.3">
      <c r="A24" s="131" t="s">
        <v>381</v>
      </c>
      <c r="B24" s="133" t="s">
        <v>779</v>
      </c>
    </row>
    <row r="25" spans="1:2" ht="16.5" thickBot="1" x14ac:dyDescent="0.3">
      <c r="A25" s="134" t="s">
        <v>382</v>
      </c>
      <c r="B25" s="132">
        <v>2017</v>
      </c>
    </row>
    <row r="26" spans="1:2" ht="16.5" thickBot="1" x14ac:dyDescent="0.3">
      <c r="A26" s="135" t="s">
        <v>383</v>
      </c>
      <c r="B26" s="386" t="s">
        <v>749</v>
      </c>
    </row>
    <row r="27" spans="1:2" ht="29.25" thickBot="1" x14ac:dyDescent="0.3">
      <c r="A27" s="142" t="s">
        <v>756</v>
      </c>
      <c r="B27" s="283">
        <f>'6.2. Паспорт фин осв ввод'!D24</f>
        <v>116.55341782000001</v>
      </c>
    </row>
    <row r="28" spans="1:2" ht="16.5" thickBot="1" x14ac:dyDescent="0.3">
      <c r="A28" s="137" t="s">
        <v>384</v>
      </c>
      <c r="B28" s="137" t="s">
        <v>750</v>
      </c>
    </row>
    <row r="29" spans="1:2" ht="29.25" thickBot="1" x14ac:dyDescent="0.3">
      <c r="A29" s="143" t="s">
        <v>757</v>
      </c>
      <c r="B29" s="358">
        <f>B30</f>
        <v>115.07607392</v>
      </c>
    </row>
    <row r="30" spans="1:2" ht="29.25" thickBot="1" x14ac:dyDescent="0.3">
      <c r="A30" s="143" t="s">
        <v>758</v>
      </c>
      <c r="B30" s="358">
        <f>B32+B41+B58</f>
        <v>115.07607392</v>
      </c>
    </row>
    <row r="31" spans="1:2" ht="16.5" thickBot="1" x14ac:dyDescent="0.3">
      <c r="A31" s="137" t="s">
        <v>385</v>
      </c>
      <c r="B31" s="293"/>
    </row>
    <row r="32" spans="1:2" ht="29.25" thickBot="1" x14ac:dyDescent="0.3">
      <c r="A32" s="143" t="s">
        <v>386</v>
      </c>
      <c r="B32" s="293">
        <f>B33+B37</f>
        <v>33.287800000000004</v>
      </c>
    </row>
    <row r="33" spans="1:3" s="294" customFormat="1" ht="30.75" thickBot="1" x14ac:dyDescent="0.3">
      <c r="A33" s="328" t="s">
        <v>759</v>
      </c>
      <c r="B33" s="359">
        <v>33.287800000000004</v>
      </c>
    </row>
    <row r="34" spans="1:3" ht="16.5" thickBot="1" x14ac:dyDescent="0.3">
      <c r="A34" s="137" t="s">
        <v>387</v>
      </c>
      <c r="B34" s="295">
        <f>B33/$B$27</f>
        <v>0.28560123437485313</v>
      </c>
    </row>
    <row r="35" spans="1:3" ht="16.5" thickBot="1" x14ac:dyDescent="0.3">
      <c r="A35" s="137" t="s">
        <v>760</v>
      </c>
      <c r="B35" s="358">
        <v>29.490099399999998</v>
      </c>
      <c r="C35" s="128">
        <v>1</v>
      </c>
    </row>
    <row r="36" spans="1:3" ht="16.5" thickBot="1" x14ac:dyDescent="0.3">
      <c r="A36" s="137" t="s">
        <v>761</v>
      </c>
      <c r="B36" s="358">
        <v>33.287800000000004</v>
      </c>
      <c r="C36" s="128">
        <v>2</v>
      </c>
    </row>
    <row r="37" spans="1:3" s="294" customFormat="1" ht="30.75" thickBot="1" x14ac:dyDescent="0.3">
      <c r="A37" s="305" t="s">
        <v>762</v>
      </c>
      <c r="B37" s="360">
        <v>0</v>
      </c>
    </row>
    <row r="38" spans="1:3" ht="16.5" thickBot="1" x14ac:dyDescent="0.3">
      <c r="A38" s="137" t="s">
        <v>387</v>
      </c>
      <c r="B38" s="295">
        <f>B37/$B$27</f>
        <v>0</v>
      </c>
    </row>
    <row r="39" spans="1:3" ht="16.5" thickBot="1" x14ac:dyDescent="0.3">
      <c r="A39" s="137" t="s">
        <v>760</v>
      </c>
      <c r="B39" s="358">
        <v>0</v>
      </c>
      <c r="C39" s="128">
        <v>1</v>
      </c>
    </row>
    <row r="40" spans="1:3" ht="16.5" thickBot="1" x14ac:dyDescent="0.3">
      <c r="A40" s="137" t="s">
        <v>761</v>
      </c>
      <c r="B40" s="358">
        <v>0</v>
      </c>
      <c r="C40" s="128">
        <v>2</v>
      </c>
    </row>
    <row r="41" spans="1:3" ht="29.25" thickBot="1" x14ac:dyDescent="0.3">
      <c r="A41" s="143" t="s">
        <v>388</v>
      </c>
      <c r="B41" s="293">
        <f>B42+B46+B50+B54</f>
        <v>47.814661999999998</v>
      </c>
    </row>
    <row r="42" spans="1:3" s="294" customFormat="1" ht="30.75" thickBot="1" x14ac:dyDescent="0.3">
      <c r="A42" s="328" t="s">
        <v>763</v>
      </c>
      <c r="B42" s="359">
        <v>0.51212000000000002</v>
      </c>
    </row>
    <row r="43" spans="1:3" ht="16.5" thickBot="1" x14ac:dyDescent="0.3">
      <c r="A43" s="137" t="s">
        <v>387</v>
      </c>
      <c r="B43" s="295">
        <f>B42/$B$27</f>
        <v>4.3938651442285087E-3</v>
      </c>
    </row>
    <row r="44" spans="1:3" ht="16.5" thickBot="1" x14ac:dyDescent="0.3">
      <c r="A44" s="137" t="s">
        <v>760</v>
      </c>
      <c r="B44" s="358">
        <v>0</v>
      </c>
      <c r="C44" s="128">
        <v>1</v>
      </c>
    </row>
    <row r="45" spans="1:3" ht="16.5" thickBot="1" x14ac:dyDescent="0.3">
      <c r="A45" s="137" t="s">
        <v>761</v>
      </c>
      <c r="B45" s="358">
        <v>0.51212000000000002</v>
      </c>
      <c r="C45" s="128">
        <v>2</v>
      </c>
    </row>
    <row r="46" spans="1:3" s="294" customFormat="1" ht="30.75" thickBot="1" x14ac:dyDescent="0.3">
      <c r="A46" s="328" t="s">
        <v>764</v>
      </c>
      <c r="B46" s="359">
        <v>26.809481999999999</v>
      </c>
    </row>
    <row r="47" spans="1:3" ht="16.5" thickBot="1" x14ac:dyDescent="0.3">
      <c r="A47" s="137" t="s">
        <v>387</v>
      </c>
      <c r="B47" s="295">
        <f>B46/$B$27</f>
        <v>0.23001884030036243</v>
      </c>
    </row>
    <row r="48" spans="1:3" ht="16.5" thickBot="1" x14ac:dyDescent="0.3">
      <c r="A48" s="137" t="s">
        <v>760</v>
      </c>
      <c r="B48" s="358">
        <v>26.809481999999999</v>
      </c>
      <c r="C48" s="128">
        <v>1</v>
      </c>
    </row>
    <row r="49" spans="1:3" ht="16.5" thickBot="1" x14ac:dyDescent="0.3">
      <c r="A49" s="137" t="s">
        <v>761</v>
      </c>
      <c r="B49" s="358">
        <v>26.809481999999999</v>
      </c>
      <c r="C49" s="128">
        <v>2</v>
      </c>
    </row>
    <row r="50" spans="1:3" s="294" customFormat="1" ht="30.75" thickBot="1" x14ac:dyDescent="0.3">
      <c r="A50" s="328" t="s">
        <v>765</v>
      </c>
      <c r="B50" s="359">
        <v>8.2599999999999993E-2</v>
      </c>
    </row>
    <row r="51" spans="1:3" ht="16.5" thickBot="1" x14ac:dyDescent="0.3">
      <c r="A51" s="137" t="s">
        <v>387</v>
      </c>
      <c r="B51" s="295">
        <f>B50/$B$27</f>
        <v>7.0868792648846911E-4</v>
      </c>
    </row>
    <row r="52" spans="1:3" ht="16.5" thickBot="1" x14ac:dyDescent="0.3">
      <c r="A52" s="137" t="s">
        <v>760</v>
      </c>
      <c r="B52" s="358">
        <v>8.2600000000000007E-2</v>
      </c>
      <c r="C52" s="128">
        <v>1</v>
      </c>
    </row>
    <row r="53" spans="1:3" ht="16.5" thickBot="1" x14ac:dyDescent="0.3">
      <c r="A53" s="137" t="s">
        <v>761</v>
      </c>
      <c r="B53" s="358">
        <v>8.2599999999999993E-2</v>
      </c>
      <c r="C53" s="128">
        <v>2</v>
      </c>
    </row>
    <row r="54" spans="1:3" s="294" customFormat="1" ht="30.75" thickBot="1" x14ac:dyDescent="0.3">
      <c r="A54" s="329" t="s">
        <v>766</v>
      </c>
      <c r="B54" s="359">
        <v>20.41046</v>
      </c>
    </row>
    <row r="55" spans="1:3" ht="16.5" thickBot="1" x14ac:dyDescent="0.3">
      <c r="A55" s="137" t="s">
        <v>387</v>
      </c>
      <c r="B55" s="295">
        <f>B54/$B$27</f>
        <v>0.17511678663530075</v>
      </c>
    </row>
    <row r="56" spans="1:3" ht="16.5" thickBot="1" x14ac:dyDescent="0.3">
      <c r="A56" s="137" t="s">
        <v>760</v>
      </c>
      <c r="B56" s="358">
        <v>20.41046</v>
      </c>
      <c r="C56" s="128">
        <v>1</v>
      </c>
    </row>
    <row r="57" spans="1:3" ht="16.5" thickBot="1" x14ac:dyDescent="0.3">
      <c r="A57" s="137" t="s">
        <v>761</v>
      </c>
      <c r="B57" s="358">
        <v>20.41046</v>
      </c>
      <c r="C57" s="128">
        <v>2</v>
      </c>
    </row>
    <row r="58" spans="1:3" ht="29.25" thickBot="1" x14ac:dyDescent="0.3">
      <c r="A58" s="143" t="s">
        <v>389</v>
      </c>
      <c r="B58" s="358">
        <f>B59+B63+B67+B71</f>
        <v>33.973611919999996</v>
      </c>
    </row>
    <row r="59" spans="1:3" s="294" customFormat="1" ht="30.75" thickBot="1" x14ac:dyDescent="0.3">
      <c r="A59" s="329" t="s">
        <v>767</v>
      </c>
      <c r="B59" s="359">
        <v>2.15</v>
      </c>
    </row>
    <row r="60" spans="1:3" ht="16.5" thickBot="1" x14ac:dyDescent="0.3">
      <c r="A60" s="137" t="s">
        <v>387</v>
      </c>
      <c r="B60" s="295">
        <f>B59/$B$27</f>
        <v>1.8446477505450469E-2</v>
      </c>
    </row>
    <row r="61" spans="1:3" ht="16.5" thickBot="1" x14ac:dyDescent="0.3">
      <c r="A61" s="137" t="s">
        <v>760</v>
      </c>
      <c r="B61" s="358">
        <v>0</v>
      </c>
      <c r="C61" s="128">
        <v>1</v>
      </c>
    </row>
    <row r="62" spans="1:3" ht="16.5" thickBot="1" x14ac:dyDescent="0.3">
      <c r="A62" s="137" t="s">
        <v>761</v>
      </c>
      <c r="B62" s="358">
        <v>2.15</v>
      </c>
      <c r="C62" s="128">
        <v>2</v>
      </c>
    </row>
    <row r="63" spans="1:3" s="294" customFormat="1" ht="30.75" thickBot="1" x14ac:dyDescent="0.3">
      <c r="A63" s="329" t="s">
        <v>768</v>
      </c>
      <c r="B63" s="359">
        <v>0.42914592000000001</v>
      </c>
    </row>
    <row r="64" spans="1:3" ht="16.5" thickBot="1" x14ac:dyDescent="0.3">
      <c r="A64" s="137" t="s">
        <v>387</v>
      </c>
      <c r="B64" s="295">
        <f>B63/$B$27</f>
        <v>3.681967702249231E-3</v>
      </c>
    </row>
    <row r="65" spans="1:3" ht="16.5" thickBot="1" x14ac:dyDescent="0.3">
      <c r="A65" s="137" t="s">
        <v>760</v>
      </c>
      <c r="B65" s="358">
        <v>0</v>
      </c>
      <c r="C65" s="128">
        <v>1</v>
      </c>
    </row>
    <row r="66" spans="1:3" ht="16.5" thickBot="1" x14ac:dyDescent="0.3">
      <c r="A66" s="137" t="s">
        <v>761</v>
      </c>
      <c r="B66" s="358">
        <v>0</v>
      </c>
      <c r="C66" s="128">
        <v>2</v>
      </c>
    </row>
    <row r="67" spans="1:3" s="294" customFormat="1" ht="30.75" thickBot="1" x14ac:dyDescent="0.3">
      <c r="A67" s="329" t="s">
        <v>769</v>
      </c>
      <c r="B67" s="359">
        <v>30.914466000000001</v>
      </c>
    </row>
    <row r="68" spans="1:3" ht="16.5" thickBot="1" x14ac:dyDescent="0.3">
      <c r="A68" s="137" t="s">
        <v>387</v>
      </c>
      <c r="B68" s="295">
        <f>B67/$B$27</f>
        <v>0.26523860542419225</v>
      </c>
    </row>
    <row r="69" spans="1:3" ht="16.5" thickBot="1" x14ac:dyDescent="0.3">
      <c r="A69" s="137" t="s">
        <v>760</v>
      </c>
      <c r="B69" s="358">
        <v>16.278920808000002</v>
      </c>
      <c r="C69" s="128">
        <v>1</v>
      </c>
    </row>
    <row r="70" spans="1:3" ht="16.5" thickBot="1" x14ac:dyDescent="0.3">
      <c r="A70" s="137" t="s">
        <v>761</v>
      </c>
      <c r="B70" s="358">
        <v>7.4357648079999983</v>
      </c>
      <c r="C70" s="128">
        <v>2</v>
      </c>
    </row>
    <row r="71" spans="1:3" s="294" customFormat="1" ht="30.75" thickBot="1" x14ac:dyDescent="0.3">
      <c r="A71" s="329" t="s">
        <v>770</v>
      </c>
      <c r="B71" s="359">
        <v>0.48</v>
      </c>
    </row>
    <row r="72" spans="1:3" ht="16.5" thickBot="1" x14ac:dyDescent="0.3">
      <c r="A72" s="137" t="s">
        <v>387</v>
      </c>
      <c r="B72" s="295">
        <f>B71/$B$27</f>
        <v>4.1182833500540581E-3</v>
      </c>
    </row>
    <row r="73" spans="1:3" ht="16.5" thickBot="1" x14ac:dyDescent="0.3">
      <c r="A73" s="137" t="s">
        <v>760</v>
      </c>
      <c r="B73" s="358">
        <v>0.48</v>
      </c>
      <c r="C73" s="128">
        <v>1</v>
      </c>
    </row>
    <row r="74" spans="1:3" ht="16.5" thickBot="1" x14ac:dyDescent="0.3">
      <c r="A74" s="137" t="s">
        <v>761</v>
      </c>
      <c r="B74" s="358">
        <v>0.48</v>
      </c>
      <c r="C74" s="128">
        <v>2</v>
      </c>
    </row>
    <row r="75" spans="1:3" ht="29.25" thickBot="1" x14ac:dyDescent="0.3">
      <c r="A75" s="136" t="s">
        <v>390</v>
      </c>
      <c r="B75" s="295">
        <f>B29/B27</f>
        <v>0.98732474836317929</v>
      </c>
    </row>
    <row r="76" spans="1:3" ht="16.5" thickBot="1" x14ac:dyDescent="0.3">
      <c r="A76" s="138" t="s">
        <v>385</v>
      </c>
      <c r="B76" s="295"/>
    </row>
    <row r="77" spans="1:3" ht="16.5" thickBot="1" x14ac:dyDescent="0.3">
      <c r="A77" s="138" t="s">
        <v>391</v>
      </c>
      <c r="B77" s="295">
        <f>B33/B27</f>
        <v>0.28560123437485313</v>
      </c>
    </row>
    <row r="78" spans="1:3" ht="16.5" thickBot="1" x14ac:dyDescent="0.3">
      <c r="A78" s="138" t="s">
        <v>392</v>
      </c>
      <c r="B78" s="295">
        <f>B41/B27</f>
        <v>0.41023818000638013</v>
      </c>
    </row>
    <row r="79" spans="1:3" ht="16.5" thickBot="1" x14ac:dyDescent="0.3">
      <c r="A79" s="138" t="s">
        <v>393</v>
      </c>
      <c r="B79" s="295">
        <f>B59/B29</f>
        <v>1.8683292944931918E-2</v>
      </c>
    </row>
    <row r="80" spans="1:3" ht="16.5" thickBot="1" x14ac:dyDescent="0.3">
      <c r="A80" s="134" t="s">
        <v>394</v>
      </c>
      <c r="B80" s="296">
        <f>B81/$B$27</f>
        <v>0.8026496687765684</v>
      </c>
    </row>
    <row r="81" spans="1:2" ht="16.5" thickBot="1" x14ac:dyDescent="0.3">
      <c r="A81" s="134" t="s">
        <v>395</v>
      </c>
      <c r="B81" s="361">
        <f xml:space="preserve"> SUMIF(C33:C74, 1,B33:B74)</f>
        <v>93.551562207999993</v>
      </c>
    </row>
    <row r="82" spans="1:2" ht="16.5" thickBot="1" x14ac:dyDescent="0.3">
      <c r="A82" s="134" t="s">
        <v>396</v>
      </c>
      <c r="B82" s="296">
        <f>B83/$B$27</f>
        <v>0.7822012302444552</v>
      </c>
    </row>
    <row r="83" spans="1:2" ht="16.5" thickBot="1" x14ac:dyDescent="0.3">
      <c r="A83" s="135" t="s">
        <v>397</v>
      </c>
      <c r="B83" s="361">
        <f xml:space="preserve"> SUMIF(C35:C76, 2,B35:B76)</f>
        <v>91.168226808000014</v>
      </c>
    </row>
    <row r="84" spans="1:2" ht="15.6" customHeight="1" x14ac:dyDescent="0.25">
      <c r="A84" s="136" t="s">
        <v>398</v>
      </c>
      <c r="B84" s="138" t="s">
        <v>399</v>
      </c>
    </row>
    <row r="85" spans="1:2" x14ac:dyDescent="0.25">
      <c r="A85" s="140" t="s">
        <v>400</v>
      </c>
      <c r="B85" s="140" t="s">
        <v>524</v>
      </c>
    </row>
    <row r="86" spans="1:2" x14ac:dyDescent="0.25">
      <c r="A86" s="140" t="s">
        <v>401</v>
      </c>
      <c r="B86" s="140" t="s">
        <v>684</v>
      </c>
    </row>
    <row r="87" spans="1:2" x14ac:dyDescent="0.25">
      <c r="A87" s="140" t="s">
        <v>402</v>
      </c>
      <c r="B87" s="140"/>
    </row>
    <row r="88" spans="1:2" ht="45" x14ac:dyDescent="0.25">
      <c r="A88" s="140" t="s">
        <v>403</v>
      </c>
      <c r="B88" s="140" t="s">
        <v>685</v>
      </c>
    </row>
    <row r="89" spans="1:2" ht="48" customHeight="1" thickBot="1" x14ac:dyDescent="0.3">
      <c r="A89" s="141" t="s">
        <v>404</v>
      </c>
      <c r="B89" s="141" t="s">
        <v>686</v>
      </c>
    </row>
    <row r="90" spans="1:2" ht="30.75" thickBot="1" x14ac:dyDescent="0.3">
      <c r="A90" s="138" t="s">
        <v>405</v>
      </c>
      <c r="B90" s="139"/>
    </row>
    <row r="91" spans="1:2" ht="29.25" thickBot="1" x14ac:dyDescent="0.3">
      <c r="A91" s="134" t="s">
        <v>406</v>
      </c>
      <c r="B91" s="363">
        <v>7</v>
      </c>
    </row>
    <row r="92" spans="1:2" ht="16.5" thickBot="1" x14ac:dyDescent="0.3">
      <c r="A92" s="138" t="s">
        <v>385</v>
      </c>
      <c r="B92" s="364"/>
    </row>
    <row r="93" spans="1:2" ht="16.5" thickBot="1" x14ac:dyDescent="0.3">
      <c r="A93" s="138" t="s">
        <v>407</v>
      </c>
      <c r="B93" s="363">
        <v>4</v>
      </c>
    </row>
    <row r="94" spans="1:2" ht="16.5" thickBot="1" x14ac:dyDescent="0.3">
      <c r="A94" s="138" t="s">
        <v>408</v>
      </c>
      <c r="B94" s="364">
        <v>3</v>
      </c>
    </row>
    <row r="95" spans="1:2" ht="75.75" thickBot="1" x14ac:dyDescent="0.3">
      <c r="A95" s="146" t="s">
        <v>409</v>
      </c>
      <c r="B95" s="284" t="s">
        <v>752</v>
      </c>
    </row>
    <row r="96" spans="1:2" ht="16.5" thickBot="1" x14ac:dyDescent="0.3">
      <c r="A96" s="134" t="s">
        <v>410</v>
      </c>
      <c r="B96" s="144"/>
    </row>
    <row r="97" spans="1:2" ht="16.5" thickBot="1" x14ac:dyDescent="0.3">
      <c r="A97" s="140" t="s">
        <v>411</v>
      </c>
      <c r="B97" s="362">
        <f>'6.1. Паспорт сетевой график'!H43</f>
        <v>42612</v>
      </c>
    </row>
    <row r="98" spans="1:2" ht="16.5" thickBot="1" x14ac:dyDescent="0.3">
      <c r="A98" s="140" t="s">
        <v>412</v>
      </c>
      <c r="B98" s="147" t="s">
        <v>630</v>
      </c>
    </row>
    <row r="99" spans="1:2" ht="16.5" thickBot="1" x14ac:dyDescent="0.3">
      <c r="A99" s="140" t="s">
        <v>413</v>
      </c>
      <c r="B99" s="147" t="s">
        <v>630</v>
      </c>
    </row>
    <row r="100" spans="1:2" ht="30.75" thickBot="1" x14ac:dyDescent="0.3">
      <c r="A100" s="148" t="s">
        <v>414</v>
      </c>
      <c r="B100" s="145" t="s">
        <v>751</v>
      </c>
    </row>
    <row r="101" spans="1:2" ht="28.5" x14ac:dyDescent="0.25">
      <c r="A101" s="136" t="s">
        <v>415</v>
      </c>
      <c r="B101" s="531" t="s">
        <v>774</v>
      </c>
    </row>
    <row r="102" spans="1:2" x14ac:dyDescent="0.25">
      <c r="A102" s="140" t="s">
        <v>416</v>
      </c>
      <c r="B102" s="532"/>
    </row>
    <row r="103" spans="1:2" x14ac:dyDescent="0.25">
      <c r="A103" s="140" t="s">
        <v>417</v>
      </c>
      <c r="B103" s="532"/>
    </row>
    <row r="104" spans="1:2" x14ac:dyDescent="0.25">
      <c r="A104" s="140" t="s">
        <v>418</v>
      </c>
      <c r="B104" s="532"/>
    </row>
    <row r="105" spans="1:2" x14ac:dyDescent="0.25">
      <c r="A105" s="140" t="s">
        <v>419</v>
      </c>
      <c r="B105" s="532"/>
    </row>
    <row r="106" spans="1:2" ht="16.5" thickBot="1" x14ac:dyDescent="0.3">
      <c r="A106" s="149" t="s">
        <v>420</v>
      </c>
      <c r="B106" s="533"/>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4" t="s">
        <v>556</v>
      </c>
    </row>
    <row r="2" spans="1:1" ht="25.5" customHeight="1" x14ac:dyDescent="0.25">
      <c r="A2" s="534"/>
    </row>
    <row r="3" spans="1:1" ht="25.5" customHeight="1" x14ac:dyDescent="0.25">
      <c r="A3" s="534"/>
    </row>
    <row r="4" spans="1:1" ht="25.5" customHeight="1" x14ac:dyDescent="0.25">
      <c r="A4" s="534"/>
    </row>
    <row r="5" spans="1:1" ht="25.5" customHeight="1" x14ac:dyDescent="0.25">
      <c r="A5" s="534"/>
    </row>
    <row r="6" spans="1:1" ht="23.25" customHeight="1" x14ac:dyDescent="0.25">
      <c r="A6" s="243">
        <v>2</v>
      </c>
    </row>
    <row r="7" spans="1:1" s="120" customFormat="1" ht="23.25" customHeight="1" x14ac:dyDescent="0.25">
      <c r="A7" s="247" t="s">
        <v>557</v>
      </c>
    </row>
    <row r="8" spans="1:1" ht="31.5" customHeight="1" x14ac:dyDescent="0.25">
      <c r="A8" s="244" t="s">
        <v>566</v>
      </c>
    </row>
    <row r="9" spans="1:1" ht="45.75" customHeight="1" x14ac:dyDescent="0.25">
      <c r="A9" s="244" t="s">
        <v>567</v>
      </c>
    </row>
    <row r="10" spans="1:1" ht="33.75" customHeight="1" x14ac:dyDescent="0.25">
      <c r="A10" s="244" t="s">
        <v>568</v>
      </c>
    </row>
    <row r="11" spans="1:1" ht="23.25" customHeight="1" x14ac:dyDescent="0.25">
      <c r="A11" s="244" t="s">
        <v>569</v>
      </c>
    </row>
    <row r="12" spans="1:1" ht="23.25" customHeight="1" x14ac:dyDescent="0.25">
      <c r="A12" s="244" t="s">
        <v>570</v>
      </c>
    </row>
    <row r="13" spans="1:1" ht="33" customHeight="1" x14ac:dyDescent="0.25">
      <c r="A13" s="244" t="s">
        <v>571</v>
      </c>
    </row>
    <row r="14" spans="1:1" ht="23.25" customHeight="1" x14ac:dyDescent="0.25">
      <c r="A14" s="244" t="s">
        <v>572</v>
      </c>
    </row>
    <row r="15" spans="1:1" ht="23.25" customHeight="1" x14ac:dyDescent="0.25">
      <c r="A15" s="245" t="s">
        <v>573</v>
      </c>
    </row>
    <row r="16" spans="1:1" ht="34.5" customHeight="1" x14ac:dyDescent="0.25">
      <c r="A16" s="245" t="s">
        <v>574</v>
      </c>
    </row>
    <row r="17" spans="1:1" ht="39.75" customHeight="1" x14ac:dyDescent="0.25">
      <c r="A17" s="245" t="s">
        <v>575</v>
      </c>
    </row>
    <row r="18" spans="1:1" ht="40.5" customHeight="1" x14ac:dyDescent="0.25">
      <c r="A18" s="245" t="s">
        <v>576</v>
      </c>
    </row>
    <row r="19" spans="1:1" ht="48.75" customHeight="1" x14ac:dyDescent="0.25">
      <c r="A19" s="245" t="s">
        <v>574</v>
      </c>
    </row>
    <row r="20" spans="1:1" ht="39" customHeight="1" x14ac:dyDescent="0.25">
      <c r="A20" s="244" t="s">
        <v>575</v>
      </c>
    </row>
    <row r="21" spans="1:1" ht="39.75" customHeight="1" x14ac:dyDescent="0.25">
      <c r="A21" s="244" t="s">
        <v>577</v>
      </c>
    </row>
    <row r="22" spans="1:1" ht="35.25" customHeight="1" x14ac:dyDescent="0.25">
      <c r="A22" s="244" t="s">
        <v>578</v>
      </c>
    </row>
    <row r="23" spans="1:1" ht="35.25" customHeight="1" x14ac:dyDescent="0.25">
      <c r="A23" s="244" t="s">
        <v>579</v>
      </c>
    </row>
    <row r="24" spans="1:1" ht="57.75" customHeight="1" x14ac:dyDescent="0.25">
      <c r="A24" s="244" t="s">
        <v>580</v>
      </c>
    </row>
    <row r="25" spans="1:1" s="120" customFormat="1" ht="23.25" customHeight="1" x14ac:dyDescent="0.25">
      <c r="A25" s="247" t="s">
        <v>581</v>
      </c>
    </row>
    <row r="26" spans="1:1" ht="36.75" customHeight="1" x14ac:dyDescent="0.25">
      <c r="A26" s="244" t="s">
        <v>582</v>
      </c>
    </row>
    <row r="27" spans="1:1" ht="23.25" customHeight="1" x14ac:dyDescent="0.25">
      <c r="A27" s="244" t="s">
        <v>583</v>
      </c>
    </row>
    <row r="28" spans="1:1" ht="30.75" customHeight="1" x14ac:dyDescent="0.25">
      <c r="A28" s="244" t="s">
        <v>584</v>
      </c>
    </row>
    <row r="29" spans="1:1" s="246" customFormat="1" ht="23.25" customHeight="1" x14ac:dyDescent="0.25">
      <c r="A29" s="244" t="s">
        <v>585</v>
      </c>
    </row>
    <row r="30" spans="1:1" s="246" customFormat="1" ht="23.25" customHeight="1" x14ac:dyDescent="0.25">
      <c r="A30" s="244" t="s">
        <v>586</v>
      </c>
    </row>
    <row r="31" spans="1:1" ht="23.25" customHeight="1" x14ac:dyDescent="0.25">
      <c r="A31" s="244" t="s">
        <v>587</v>
      </c>
    </row>
    <row r="32" spans="1:1" ht="23.25" customHeight="1" x14ac:dyDescent="0.25">
      <c r="A32" s="244" t="s">
        <v>588</v>
      </c>
    </row>
    <row r="33" spans="1:1" ht="23.25" customHeight="1" x14ac:dyDescent="0.25">
      <c r="A33" s="244" t="s">
        <v>589</v>
      </c>
    </row>
    <row r="34" spans="1:1" ht="23.25" customHeight="1" x14ac:dyDescent="0.25">
      <c r="A34" s="244" t="s">
        <v>590</v>
      </c>
    </row>
    <row r="35" spans="1:1" ht="23.25" customHeight="1" x14ac:dyDescent="0.25">
      <c r="A35" s="244" t="s">
        <v>591</v>
      </c>
    </row>
    <row r="36" spans="1:1" ht="23.25" customHeight="1" x14ac:dyDescent="0.25">
      <c r="A36" s="244" t="s">
        <v>592</v>
      </c>
    </row>
    <row r="37" spans="1:1" ht="23.25" customHeight="1" x14ac:dyDescent="0.25">
      <c r="A37" s="244" t="s">
        <v>593</v>
      </c>
    </row>
    <row r="38" spans="1:1" ht="23.25" customHeight="1" x14ac:dyDescent="0.25">
      <c r="A38" s="244" t="s">
        <v>594</v>
      </c>
    </row>
    <row r="39" spans="1:1" ht="23.25" customHeight="1" x14ac:dyDescent="0.25">
      <c r="A39" s="244" t="s">
        <v>595</v>
      </c>
    </row>
    <row r="40" spans="1:1" ht="23.25" customHeight="1" x14ac:dyDescent="0.25">
      <c r="A40" s="244" t="s">
        <v>596</v>
      </c>
    </row>
    <row r="41" spans="1:1" ht="23.25" customHeight="1" x14ac:dyDescent="0.25">
      <c r="A41" s="244" t="s">
        <v>597</v>
      </c>
    </row>
    <row r="42" spans="1:1" ht="23.25" customHeight="1" x14ac:dyDescent="0.25">
      <c r="A42" s="244" t="s">
        <v>598</v>
      </c>
    </row>
    <row r="43" spans="1:1" ht="23.25" customHeight="1" x14ac:dyDescent="0.25">
      <c r="A43" s="244" t="s">
        <v>599</v>
      </c>
    </row>
    <row r="44" spans="1:1" s="120" customFormat="1" ht="36" customHeight="1" x14ac:dyDescent="0.25">
      <c r="A44" s="247" t="s">
        <v>600</v>
      </c>
    </row>
    <row r="45" spans="1:1" ht="36" customHeight="1" x14ac:dyDescent="0.25">
      <c r="A45" s="244" t="s">
        <v>601</v>
      </c>
    </row>
    <row r="46" spans="1:1" ht="36" customHeight="1" x14ac:dyDescent="0.25">
      <c r="A46" s="244" t="s">
        <v>602</v>
      </c>
    </row>
    <row r="47" spans="1:1" s="120" customFormat="1" ht="23.25" customHeight="1" x14ac:dyDescent="0.25">
      <c r="A47" s="247" t="s">
        <v>603</v>
      </c>
    </row>
    <row r="48" spans="1:1" s="120" customFormat="1" ht="23.25" customHeight="1" x14ac:dyDescent="0.25">
      <c r="A48" s="248" t="s">
        <v>604</v>
      </c>
    </row>
    <row r="49" spans="1:1" s="120" customFormat="1" ht="23.25" customHeight="1" x14ac:dyDescent="0.25">
      <c r="A49" s="248" t="s">
        <v>605</v>
      </c>
    </row>
    <row r="50" spans="1:1" ht="23.25" customHeight="1" x14ac:dyDescent="0.25">
      <c r="A50" s="24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607</v>
      </c>
    </row>
    <row r="2" spans="1:1" ht="18.75" customHeight="1" x14ac:dyDescent="0.25">
      <c r="A2" t="s">
        <v>628</v>
      </c>
    </row>
    <row r="3" spans="1:1" x14ac:dyDescent="0.25">
      <c r="A3" t="s">
        <v>608</v>
      </c>
    </row>
    <row r="4" spans="1:1" x14ac:dyDescent="0.25">
      <c r="A4" t="s">
        <v>609</v>
      </c>
    </row>
    <row r="5" spans="1:1" x14ac:dyDescent="0.25">
      <c r="A5" t="s">
        <v>610</v>
      </c>
    </row>
    <row r="6" spans="1:1" x14ac:dyDescent="0.25">
      <c r="A6" t="s">
        <v>611</v>
      </c>
    </row>
    <row r="7" spans="1:1" x14ac:dyDescent="0.25">
      <c r="A7" t="s">
        <v>612</v>
      </c>
    </row>
    <row r="8" spans="1:1" x14ac:dyDescent="0.25">
      <c r="A8" t="s">
        <v>613</v>
      </c>
    </row>
    <row r="9" spans="1:1" x14ac:dyDescent="0.25">
      <c r="A9" t="s">
        <v>614</v>
      </c>
    </row>
    <row r="10" spans="1:1" x14ac:dyDescent="0.25">
      <c r="A10" t="s">
        <v>615</v>
      </c>
    </row>
    <row r="11" spans="1:1" x14ac:dyDescent="0.25">
      <c r="A11" t="s">
        <v>616</v>
      </c>
    </row>
    <row r="12" spans="1:1" x14ac:dyDescent="0.25">
      <c r="A12" t="s">
        <v>617</v>
      </c>
    </row>
    <row r="13" spans="1:1" x14ac:dyDescent="0.25">
      <c r="A13" t="s">
        <v>618</v>
      </c>
    </row>
    <row r="14" spans="1:1" x14ac:dyDescent="0.25">
      <c r="A14" t="s">
        <v>619</v>
      </c>
    </row>
    <row r="15" spans="1:1" x14ac:dyDescent="0.25">
      <c r="A15" t="s">
        <v>620</v>
      </c>
    </row>
    <row r="16" spans="1:1" x14ac:dyDescent="0.25">
      <c r="A16" t="s">
        <v>621</v>
      </c>
    </row>
    <row r="17" spans="1:1" x14ac:dyDescent="0.25">
      <c r="A17" t="s">
        <v>622</v>
      </c>
    </row>
    <row r="18" spans="1:1" x14ac:dyDescent="0.25">
      <c r="A18" t="s">
        <v>623</v>
      </c>
    </row>
    <row r="19" spans="1:1" x14ac:dyDescent="0.25">
      <c r="A19" t="s">
        <v>624</v>
      </c>
    </row>
    <row r="20" spans="1:1" ht="17.25" customHeight="1" x14ac:dyDescent="0.25">
      <c r="A20" t="s">
        <v>625</v>
      </c>
    </row>
    <row r="21" spans="1:1" x14ac:dyDescent="0.25">
      <c r="A21" t="s">
        <v>626</v>
      </c>
    </row>
    <row r="22" spans="1:1" x14ac:dyDescent="0.25">
      <c r="A22"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629</v>
      </c>
    </row>
    <row r="2" spans="1:1" x14ac:dyDescent="0.25">
      <c r="A2" t="s">
        <v>526</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631</v>
      </c>
    </row>
    <row r="3" spans="1:1" x14ac:dyDescent="0.25">
      <c r="A3" t="s">
        <v>632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634</v>
      </c>
    </row>
    <row r="2" spans="1:1" x14ac:dyDescent="0.25">
      <c r="A2" t="s">
        <v>635</v>
      </c>
    </row>
    <row r="3" spans="1:1" x14ac:dyDescent="0.25">
      <c r="A3" t="s">
        <v>636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558</v>
      </c>
    </row>
    <row r="2" spans="1:1" x14ac:dyDescent="0.25">
      <c r="A2" t="s">
        <v>559</v>
      </c>
    </row>
    <row r="3" spans="1:1" x14ac:dyDescent="0.25">
      <c r="A3" t="s">
        <v>560</v>
      </c>
    </row>
    <row r="4" spans="1:1" x14ac:dyDescent="0.25">
      <c r="A4" t="s">
        <v>561</v>
      </c>
    </row>
    <row r="5" spans="1:1" x14ac:dyDescent="0.25">
      <c r="A5" t="s">
        <v>562</v>
      </c>
    </row>
    <row r="6" spans="1:1" x14ac:dyDescent="0.25">
      <c r="A6" t="s">
        <v>563</v>
      </c>
    </row>
    <row r="7" spans="1:1" x14ac:dyDescent="0.25">
      <c r="A7" t="s">
        <v>564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1" zoomScale="70" zoomScaleSheetLayoutView="7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42"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row>
    <row r="5" spans="1:28" s="11" customFormat="1" ht="15.75" x14ac:dyDescent="0.2">
      <c r="A5" s="16"/>
    </row>
    <row r="6" spans="1:28" s="11" customFormat="1" ht="18.75" x14ac:dyDescent="0.2">
      <c r="A6" s="399" t="s">
        <v>7</v>
      </c>
      <c r="B6" s="399"/>
      <c r="C6" s="399"/>
      <c r="D6" s="399"/>
      <c r="E6" s="399"/>
      <c r="F6" s="399"/>
      <c r="G6" s="399"/>
      <c r="H6" s="399"/>
      <c r="I6" s="399"/>
      <c r="J6" s="399"/>
      <c r="K6" s="399"/>
      <c r="L6" s="399"/>
      <c r="M6" s="399"/>
      <c r="N6" s="399"/>
      <c r="O6" s="399"/>
      <c r="P6" s="399"/>
      <c r="Q6" s="399"/>
      <c r="R6" s="399"/>
      <c r="S6" s="399"/>
      <c r="T6" s="12"/>
      <c r="U6" s="12"/>
      <c r="V6" s="12"/>
      <c r="W6" s="12"/>
      <c r="X6" s="12"/>
      <c r="Y6" s="12"/>
      <c r="Z6" s="12"/>
      <c r="AA6" s="12"/>
      <c r="AB6" s="12"/>
    </row>
    <row r="7" spans="1:28" s="11" customFormat="1" ht="18.75" x14ac:dyDescent="0.2">
      <c r="A7" s="399"/>
      <c r="B7" s="399"/>
      <c r="C7" s="399"/>
      <c r="D7" s="399"/>
      <c r="E7" s="399"/>
      <c r="F7" s="399"/>
      <c r="G7" s="399"/>
      <c r="H7" s="399"/>
      <c r="I7" s="399"/>
      <c r="J7" s="399"/>
      <c r="K7" s="399"/>
      <c r="L7" s="399"/>
      <c r="M7" s="399"/>
      <c r="N7" s="399"/>
      <c r="O7" s="399"/>
      <c r="P7" s="399"/>
      <c r="Q7" s="399"/>
      <c r="R7" s="399"/>
      <c r="S7" s="399"/>
      <c r="T7" s="12"/>
      <c r="U7" s="12"/>
      <c r="V7" s="12"/>
      <c r="W7" s="12"/>
      <c r="X7" s="12"/>
      <c r="Y7" s="12"/>
      <c r="Z7" s="12"/>
      <c r="AA7" s="12"/>
      <c r="AB7" s="12"/>
    </row>
    <row r="8" spans="1:28" s="11" customFormat="1" ht="18.75" x14ac:dyDescent="0.2">
      <c r="A8" s="403" t="str">
        <f>'1. паспорт местоположение'!A9:C9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12"/>
      <c r="U8" s="12"/>
      <c r="V8" s="12"/>
      <c r="W8" s="12"/>
      <c r="X8" s="12"/>
      <c r="Y8" s="12"/>
      <c r="Z8" s="12"/>
      <c r="AA8" s="12"/>
      <c r="AB8" s="12"/>
    </row>
    <row r="9" spans="1:28" s="11" customFormat="1" ht="18.75" x14ac:dyDescent="0.2">
      <c r="A9" s="396" t="s">
        <v>6</v>
      </c>
      <c r="B9" s="396"/>
      <c r="C9" s="396"/>
      <c r="D9" s="396"/>
      <c r="E9" s="396"/>
      <c r="F9" s="396"/>
      <c r="G9" s="396"/>
      <c r="H9" s="396"/>
      <c r="I9" s="396"/>
      <c r="J9" s="396"/>
      <c r="K9" s="396"/>
      <c r="L9" s="396"/>
      <c r="M9" s="396"/>
      <c r="N9" s="396"/>
      <c r="O9" s="396"/>
      <c r="P9" s="396"/>
      <c r="Q9" s="396"/>
      <c r="R9" s="396"/>
      <c r="S9" s="396"/>
      <c r="T9" s="12"/>
      <c r="U9" s="12"/>
      <c r="V9" s="12"/>
      <c r="W9" s="12"/>
      <c r="X9" s="12"/>
      <c r="Y9" s="12"/>
      <c r="Z9" s="12"/>
      <c r="AA9" s="12"/>
      <c r="AB9" s="12"/>
    </row>
    <row r="10" spans="1:28" s="11" customFormat="1" ht="18.75" x14ac:dyDescent="0.2">
      <c r="A10" s="399"/>
      <c r="B10" s="399"/>
      <c r="C10" s="399"/>
      <c r="D10" s="399"/>
      <c r="E10" s="399"/>
      <c r="F10" s="399"/>
      <c r="G10" s="399"/>
      <c r="H10" s="399"/>
      <c r="I10" s="399"/>
      <c r="J10" s="399"/>
      <c r="K10" s="399"/>
      <c r="L10" s="399"/>
      <c r="M10" s="399"/>
      <c r="N10" s="399"/>
      <c r="O10" s="399"/>
      <c r="P10" s="399"/>
      <c r="Q10" s="399"/>
      <c r="R10" s="399"/>
      <c r="S10" s="399"/>
      <c r="T10" s="12"/>
      <c r="U10" s="12"/>
      <c r="V10" s="12"/>
      <c r="W10" s="12"/>
      <c r="X10" s="12"/>
      <c r="Y10" s="12"/>
      <c r="Z10" s="12"/>
      <c r="AA10" s="12"/>
      <c r="AB10" s="12"/>
    </row>
    <row r="11" spans="1:28" s="11" customFormat="1" ht="18.75" x14ac:dyDescent="0.2">
      <c r="A11" s="403" t="str">
        <f>'1. паспорт местоположение'!A12:C12</f>
        <v>Н_16-0190</v>
      </c>
      <c r="B11" s="403"/>
      <c r="C11" s="403"/>
      <c r="D11" s="403"/>
      <c r="E11" s="403"/>
      <c r="F11" s="403"/>
      <c r="G11" s="403"/>
      <c r="H11" s="403"/>
      <c r="I11" s="403"/>
      <c r="J11" s="403"/>
      <c r="K11" s="403"/>
      <c r="L11" s="403"/>
      <c r="M11" s="403"/>
      <c r="N11" s="403"/>
      <c r="O11" s="403"/>
      <c r="P11" s="403"/>
      <c r="Q11" s="403"/>
      <c r="R11" s="403"/>
      <c r="S11" s="403"/>
      <c r="T11" s="12"/>
      <c r="U11" s="12"/>
      <c r="V11" s="12"/>
      <c r="W11" s="12"/>
      <c r="X11" s="12"/>
      <c r="Y11" s="12"/>
      <c r="Z11" s="12"/>
      <c r="AA11" s="12"/>
      <c r="AB11" s="12"/>
    </row>
    <row r="12" spans="1:28" s="11" customFormat="1" ht="18.75" x14ac:dyDescent="0.2">
      <c r="A12" s="396" t="s">
        <v>5</v>
      </c>
      <c r="B12" s="396"/>
      <c r="C12" s="396"/>
      <c r="D12" s="396"/>
      <c r="E12" s="396"/>
      <c r="F12" s="396"/>
      <c r="G12" s="396"/>
      <c r="H12" s="396"/>
      <c r="I12" s="396"/>
      <c r="J12" s="396"/>
      <c r="K12" s="396"/>
      <c r="L12" s="396"/>
      <c r="M12" s="396"/>
      <c r="N12" s="396"/>
      <c r="O12" s="396"/>
      <c r="P12" s="396"/>
      <c r="Q12" s="396"/>
      <c r="R12" s="396"/>
      <c r="S12" s="396"/>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2" x14ac:dyDescent="0.2">
      <c r="A14" s="403" t="str">
        <f>'1. паспорт местоположение'!A9:C9</f>
        <v>Акционерное общество "Янтарьэнерго" ДЗО  ПАО "Россети"</v>
      </c>
      <c r="B14" s="403"/>
      <c r="C14" s="403"/>
      <c r="D14" s="403"/>
      <c r="E14" s="403"/>
      <c r="F14" s="403"/>
      <c r="G14" s="403"/>
      <c r="H14" s="403"/>
      <c r="I14" s="403"/>
      <c r="J14" s="403"/>
      <c r="K14" s="403"/>
      <c r="L14" s="403"/>
      <c r="M14" s="403"/>
      <c r="N14" s="403"/>
      <c r="O14" s="403"/>
      <c r="P14" s="403"/>
      <c r="Q14" s="403"/>
      <c r="R14" s="403"/>
      <c r="S14" s="403"/>
      <c r="T14" s="7"/>
      <c r="U14" s="7"/>
      <c r="V14" s="7"/>
      <c r="W14" s="7"/>
      <c r="X14" s="7"/>
      <c r="Y14" s="7"/>
      <c r="Z14" s="7"/>
      <c r="AA14" s="7"/>
      <c r="AB14" s="7"/>
    </row>
    <row r="15" spans="1:28" s="3" customFormat="1" ht="15" customHeight="1" x14ac:dyDescent="0.2">
      <c r="A15" s="404"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396"/>
      <c r="C15" s="396"/>
      <c r="D15" s="396"/>
      <c r="E15" s="396"/>
      <c r="F15" s="396"/>
      <c r="G15" s="396"/>
      <c r="H15" s="396"/>
      <c r="I15" s="396"/>
      <c r="J15" s="396"/>
      <c r="K15" s="396"/>
      <c r="L15" s="396"/>
      <c r="M15" s="396"/>
      <c r="N15" s="396"/>
      <c r="O15" s="396"/>
      <c r="P15" s="396"/>
      <c r="Q15" s="396"/>
      <c r="R15" s="396"/>
      <c r="S15" s="396"/>
      <c r="T15" s="5"/>
      <c r="U15" s="5"/>
      <c r="V15" s="5"/>
      <c r="W15" s="5"/>
      <c r="X15" s="5"/>
      <c r="Y15" s="5"/>
      <c r="Z15" s="5"/>
      <c r="AA15" s="5"/>
      <c r="AB15" s="5"/>
    </row>
    <row r="16" spans="1:28" s="3" customFormat="1" ht="15" customHeight="1" x14ac:dyDescent="0.2">
      <c r="A16" s="405"/>
      <c r="B16" s="405"/>
      <c r="C16" s="405"/>
      <c r="D16" s="405"/>
      <c r="E16" s="405"/>
      <c r="F16" s="405"/>
      <c r="G16" s="405"/>
      <c r="H16" s="405"/>
      <c r="I16" s="405"/>
      <c r="J16" s="405"/>
      <c r="K16" s="405"/>
      <c r="L16" s="405"/>
      <c r="M16" s="405"/>
      <c r="N16" s="405"/>
      <c r="O16" s="405"/>
      <c r="P16" s="405"/>
      <c r="Q16" s="405"/>
      <c r="R16" s="405"/>
      <c r="S16" s="405"/>
      <c r="T16" s="4"/>
      <c r="U16" s="4"/>
      <c r="V16" s="4"/>
      <c r="W16" s="4"/>
      <c r="X16" s="4"/>
      <c r="Y16" s="4"/>
    </row>
    <row r="17" spans="1:28" s="3" customFormat="1" ht="45.75" customHeight="1" x14ac:dyDescent="0.2">
      <c r="A17" s="397" t="s">
        <v>479</v>
      </c>
      <c r="B17" s="397"/>
      <c r="C17" s="397"/>
      <c r="D17" s="397"/>
      <c r="E17" s="397"/>
      <c r="F17" s="397"/>
      <c r="G17" s="397"/>
      <c r="H17" s="397"/>
      <c r="I17" s="397"/>
      <c r="J17" s="397"/>
      <c r="K17" s="397"/>
      <c r="L17" s="397"/>
      <c r="M17" s="397"/>
      <c r="N17" s="397"/>
      <c r="O17" s="397"/>
      <c r="P17" s="397"/>
      <c r="Q17" s="397"/>
      <c r="R17" s="397"/>
      <c r="S17" s="397"/>
      <c r="T17" s="6"/>
      <c r="U17" s="6"/>
      <c r="V17" s="6"/>
      <c r="W17" s="6"/>
      <c r="X17" s="6"/>
      <c r="Y17" s="6"/>
      <c r="Z17" s="6"/>
      <c r="AA17" s="6"/>
      <c r="AB17" s="6"/>
    </row>
    <row r="18" spans="1:28"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
      <c r="U18" s="4"/>
      <c r="V18" s="4"/>
      <c r="W18" s="4"/>
      <c r="X18" s="4"/>
      <c r="Y18" s="4"/>
    </row>
    <row r="19" spans="1:28" s="3" customFormat="1" ht="54" customHeight="1" x14ac:dyDescent="0.2">
      <c r="A19" s="408" t="s">
        <v>3</v>
      </c>
      <c r="B19" s="408" t="s">
        <v>94</v>
      </c>
      <c r="C19" s="409" t="s">
        <v>378</v>
      </c>
      <c r="D19" s="408" t="s">
        <v>377</v>
      </c>
      <c r="E19" s="408" t="s">
        <v>93</v>
      </c>
      <c r="F19" s="408" t="s">
        <v>92</v>
      </c>
      <c r="G19" s="408" t="s">
        <v>373</v>
      </c>
      <c r="H19" s="408" t="s">
        <v>91</v>
      </c>
      <c r="I19" s="408" t="s">
        <v>90</v>
      </c>
      <c r="J19" s="408" t="s">
        <v>89</v>
      </c>
      <c r="K19" s="408" t="s">
        <v>88</v>
      </c>
      <c r="L19" s="408" t="s">
        <v>87</v>
      </c>
      <c r="M19" s="408" t="s">
        <v>86</v>
      </c>
      <c r="N19" s="408" t="s">
        <v>85</v>
      </c>
      <c r="O19" s="408" t="s">
        <v>84</v>
      </c>
      <c r="P19" s="408" t="s">
        <v>83</v>
      </c>
      <c r="Q19" s="408" t="s">
        <v>376</v>
      </c>
      <c r="R19" s="408"/>
      <c r="S19" s="411" t="s">
        <v>473</v>
      </c>
      <c r="T19" s="4"/>
      <c r="U19" s="4"/>
      <c r="V19" s="4"/>
      <c r="W19" s="4"/>
      <c r="X19" s="4"/>
      <c r="Y19" s="4"/>
    </row>
    <row r="20" spans="1:28" s="3" customFormat="1" ht="180.75" customHeight="1" x14ac:dyDescent="0.2">
      <c r="A20" s="408"/>
      <c r="B20" s="408"/>
      <c r="C20" s="410"/>
      <c r="D20" s="408"/>
      <c r="E20" s="408"/>
      <c r="F20" s="408"/>
      <c r="G20" s="408"/>
      <c r="H20" s="408"/>
      <c r="I20" s="408"/>
      <c r="J20" s="408"/>
      <c r="K20" s="408"/>
      <c r="L20" s="408"/>
      <c r="M20" s="408"/>
      <c r="N20" s="408"/>
      <c r="O20" s="408"/>
      <c r="P20" s="408"/>
      <c r="Q20" s="45" t="s">
        <v>374</v>
      </c>
      <c r="R20" s="46" t="s">
        <v>375</v>
      </c>
      <c r="S20" s="411"/>
      <c r="T20" s="31"/>
      <c r="U20" s="31"/>
      <c r="V20" s="31"/>
      <c r="W20" s="31"/>
      <c r="X20" s="31"/>
      <c r="Y20" s="31"/>
      <c r="Z20" s="30"/>
      <c r="AA20" s="30"/>
      <c r="AB20" s="30"/>
    </row>
    <row r="21" spans="1:28" s="3" customFormat="1" ht="18.75" x14ac:dyDescent="0.2">
      <c r="A21" s="45">
        <v>1</v>
      </c>
      <c r="B21" s="48">
        <v>2</v>
      </c>
      <c r="C21" s="45">
        <v>3</v>
      </c>
      <c r="D21" s="48">
        <v>4</v>
      </c>
      <c r="E21" s="45">
        <v>5</v>
      </c>
      <c r="F21" s="48">
        <v>6</v>
      </c>
      <c r="G21" s="157">
        <v>7</v>
      </c>
      <c r="H21" s="158">
        <v>8</v>
      </c>
      <c r="I21" s="157">
        <v>9</v>
      </c>
      <c r="J21" s="158">
        <v>10</v>
      </c>
      <c r="K21" s="157">
        <v>11</v>
      </c>
      <c r="L21" s="158">
        <v>12</v>
      </c>
      <c r="M21" s="157">
        <v>13</v>
      </c>
      <c r="N21" s="158">
        <v>14</v>
      </c>
      <c r="O21" s="157">
        <v>15</v>
      </c>
      <c r="P21" s="158">
        <v>16</v>
      </c>
      <c r="Q21" s="157">
        <v>17</v>
      </c>
      <c r="R21" s="158">
        <v>18</v>
      </c>
      <c r="S21" s="157">
        <v>19</v>
      </c>
      <c r="T21" s="31"/>
      <c r="U21" s="31"/>
      <c r="V21" s="31"/>
      <c r="W21" s="31"/>
      <c r="X21" s="31"/>
      <c r="Y21" s="31"/>
      <c r="Z21" s="30"/>
      <c r="AA21" s="30"/>
      <c r="AB21" s="30"/>
    </row>
    <row r="22" spans="1:28" s="252" customFormat="1" ht="396.75" customHeight="1" x14ac:dyDescent="0.25">
      <c r="A22" s="288">
        <v>1</v>
      </c>
      <c r="B22" s="289" t="s">
        <v>662</v>
      </c>
      <c r="C22" s="289"/>
      <c r="D22" s="289" t="s">
        <v>668</v>
      </c>
      <c r="E22" s="289" t="s">
        <v>658</v>
      </c>
      <c r="F22" s="289" t="s">
        <v>663</v>
      </c>
      <c r="G22" s="289" t="s">
        <v>664</v>
      </c>
      <c r="H22" s="289">
        <v>1.0073000000000001</v>
      </c>
      <c r="I22" s="289"/>
      <c r="J22" s="289">
        <v>1.0073000000000001</v>
      </c>
      <c r="K22" s="291" t="s">
        <v>661</v>
      </c>
      <c r="L22" s="292">
        <v>3</v>
      </c>
      <c r="M22" s="289">
        <v>1.26</v>
      </c>
      <c r="N22" s="290">
        <v>2</v>
      </c>
      <c r="O22" s="291"/>
      <c r="P22" s="291"/>
      <c r="Q22" s="308" t="s">
        <v>669</v>
      </c>
      <c r="R22" s="307"/>
      <c r="S22" s="291">
        <v>67.306425739999995</v>
      </c>
      <c r="AA22" s="286"/>
      <c r="AB22" s="286"/>
    </row>
    <row r="23" spans="1:28" s="306" customFormat="1" ht="383.25" customHeight="1" x14ac:dyDescent="0.25">
      <c r="A23" s="288">
        <v>2</v>
      </c>
      <c r="B23" s="289" t="s">
        <v>657</v>
      </c>
      <c r="C23" s="289"/>
      <c r="D23" s="289" t="s">
        <v>668</v>
      </c>
      <c r="E23" s="289" t="s">
        <v>658</v>
      </c>
      <c r="F23" s="289" t="s">
        <v>659</v>
      </c>
      <c r="G23" s="289" t="s">
        <v>660</v>
      </c>
      <c r="H23" s="289">
        <v>0.24</v>
      </c>
      <c r="I23" s="289"/>
      <c r="J23" s="289">
        <v>0.24</v>
      </c>
      <c r="K23" s="291" t="s">
        <v>661</v>
      </c>
      <c r="L23" s="292">
        <v>3</v>
      </c>
      <c r="M23" s="289">
        <v>1.26</v>
      </c>
      <c r="N23" s="290">
        <v>2</v>
      </c>
      <c r="O23" s="291"/>
      <c r="P23" s="291"/>
      <c r="Q23" s="308" t="s">
        <v>670</v>
      </c>
      <c r="R23" s="307"/>
      <c r="S23" s="291">
        <v>55.535621499999998</v>
      </c>
      <c r="AA23" s="286"/>
      <c r="AB23" s="286"/>
    </row>
    <row r="24" spans="1:28" ht="20.25" customHeight="1" x14ac:dyDescent="0.25">
      <c r="A24" s="125"/>
      <c r="B24" s="48" t="s">
        <v>371</v>
      </c>
      <c r="C24" s="48"/>
      <c r="D24" s="48"/>
      <c r="E24" s="125" t="s">
        <v>372</v>
      </c>
      <c r="F24" s="125" t="s">
        <v>372</v>
      </c>
      <c r="G24" s="125" t="s">
        <v>372</v>
      </c>
      <c r="H24" s="287">
        <f>SUM(H22:H23)</f>
        <v>1.2473000000000001</v>
      </c>
      <c r="I24" s="125"/>
      <c r="J24" s="287">
        <f>SUM(J22:J23)</f>
        <v>1.2473000000000001</v>
      </c>
      <c r="K24" s="125"/>
      <c r="L24" s="125"/>
      <c r="M24" s="125"/>
      <c r="N24" s="125"/>
      <c r="O24" s="125"/>
      <c r="P24" s="125"/>
      <c r="Q24" s="126"/>
      <c r="R24" s="2"/>
      <c r="S24" s="287">
        <f>SUM(S22:S23)</f>
        <v>122.84204724</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17" zoomScale="70" zoomScaleNormal="60" zoomScaleSheetLayoutView="70" workbookViewId="0">
      <selection activeCell="F25" sqref="F25"/>
    </sheetView>
  </sheetViews>
  <sheetFormatPr defaultColWidth="10.7109375" defaultRowHeight="15.75" x14ac:dyDescent="0.25"/>
  <cols>
    <col min="1" max="1" width="9.5703125" style="50" customWidth="1"/>
    <col min="2" max="2" width="8.7109375" style="50" customWidth="1"/>
    <col min="3" max="3" width="23" style="50" customWidth="1"/>
    <col min="4" max="4" width="17.7109375" style="50" customWidth="1"/>
    <col min="5" max="5" width="11.140625" style="50" customWidth="1"/>
    <col min="6" max="6" width="18.5703125" style="50" customWidth="1"/>
    <col min="7" max="7" width="8.7109375" style="50" customWidth="1"/>
    <col min="8" max="8" width="10.28515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2"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5" t="str">
        <f>'1. паспорт местоположение'!A5:C5</f>
        <v>Год раскрытия информации: 2020 год</v>
      </c>
      <c r="B6" s="395"/>
      <c r="C6" s="395"/>
      <c r="D6" s="395"/>
      <c r="E6" s="395"/>
      <c r="F6" s="395"/>
      <c r="G6" s="395"/>
      <c r="H6" s="395"/>
      <c r="I6" s="395"/>
      <c r="J6" s="395"/>
      <c r="K6" s="395"/>
      <c r="L6" s="395"/>
      <c r="M6" s="395"/>
      <c r="N6" s="395"/>
      <c r="O6" s="395"/>
      <c r="P6" s="395"/>
      <c r="Q6" s="395"/>
      <c r="R6" s="395"/>
      <c r="S6" s="395"/>
      <c r="T6" s="395"/>
    </row>
    <row r="7" spans="1:20" s="11" customFormat="1" x14ac:dyDescent="0.2">
      <c r="A7" s="16"/>
      <c r="H7" s="15"/>
    </row>
    <row r="8" spans="1:20" s="11" customFormat="1" ht="18.75" x14ac:dyDescent="0.2">
      <c r="A8" s="399" t="s">
        <v>7</v>
      </c>
      <c r="B8" s="399"/>
      <c r="C8" s="399"/>
      <c r="D8" s="399"/>
      <c r="E8" s="399"/>
      <c r="F8" s="399"/>
      <c r="G8" s="399"/>
      <c r="H8" s="399"/>
      <c r="I8" s="399"/>
      <c r="J8" s="399"/>
      <c r="K8" s="399"/>
      <c r="L8" s="399"/>
      <c r="M8" s="399"/>
      <c r="N8" s="399"/>
      <c r="O8" s="399"/>
      <c r="P8" s="399"/>
      <c r="Q8" s="399"/>
      <c r="R8" s="399"/>
      <c r="S8" s="399"/>
      <c r="T8" s="399"/>
    </row>
    <row r="9" spans="1:20" s="11"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1" customFormat="1" ht="18.75" customHeight="1" x14ac:dyDescent="0.2">
      <c r="A10" s="403" t="str">
        <f>'1. паспорт местоположение'!A9:C9</f>
        <v>Акционерное общество "Янтарьэнерго" ДЗО  ПАО "Россети"</v>
      </c>
      <c r="B10" s="403"/>
      <c r="C10" s="403"/>
      <c r="D10" s="403"/>
      <c r="E10" s="403"/>
      <c r="F10" s="403"/>
      <c r="G10" s="403"/>
      <c r="H10" s="403"/>
      <c r="I10" s="403"/>
      <c r="J10" s="403"/>
      <c r="K10" s="403"/>
      <c r="L10" s="403"/>
      <c r="M10" s="403"/>
      <c r="N10" s="403"/>
      <c r="O10" s="403"/>
      <c r="P10" s="403"/>
      <c r="Q10" s="403"/>
      <c r="R10" s="403"/>
      <c r="S10" s="403"/>
      <c r="T10" s="403"/>
    </row>
    <row r="11" spans="1:20" s="11" customFormat="1" ht="18.75" customHeight="1" x14ac:dyDescent="0.2">
      <c r="A11" s="396" t="s">
        <v>6</v>
      </c>
      <c r="B11" s="396"/>
      <c r="C11" s="396"/>
      <c r="D11" s="396"/>
      <c r="E11" s="396"/>
      <c r="F11" s="396"/>
      <c r="G11" s="396"/>
      <c r="H11" s="396"/>
      <c r="I11" s="396"/>
      <c r="J11" s="396"/>
      <c r="K11" s="396"/>
      <c r="L11" s="396"/>
      <c r="M11" s="396"/>
      <c r="N11" s="396"/>
      <c r="O11" s="396"/>
      <c r="P11" s="396"/>
      <c r="Q11" s="396"/>
      <c r="R11" s="396"/>
      <c r="S11" s="396"/>
      <c r="T11" s="396"/>
    </row>
    <row r="12" spans="1:20" s="11"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1" customFormat="1" ht="18.75" customHeight="1" x14ac:dyDescent="0.2">
      <c r="A13" s="403" t="str">
        <f>'1. паспорт местоположение'!A12:C12</f>
        <v>Н_16-0190</v>
      </c>
      <c r="B13" s="403"/>
      <c r="C13" s="403"/>
      <c r="D13" s="403"/>
      <c r="E13" s="403"/>
      <c r="F13" s="403"/>
      <c r="G13" s="403"/>
      <c r="H13" s="403"/>
      <c r="I13" s="403"/>
      <c r="J13" s="403"/>
      <c r="K13" s="403"/>
      <c r="L13" s="403"/>
      <c r="M13" s="403"/>
      <c r="N13" s="403"/>
      <c r="O13" s="403"/>
      <c r="P13" s="403"/>
      <c r="Q13" s="403"/>
      <c r="R13" s="403"/>
      <c r="S13" s="403"/>
      <c r="T13" s="403"/>
    </row>
    <row r="14" spans="1:20" s="11" customFormat="1" ht="18.75" customHeight="1" x14ac:dyDescent="0.2">
      <c r="A14" s="396" t="s">
        <v>5</v>
      </c>
      <c r="B14" s="396"/>
      <c r="C14" s="396"/>
      <c r="D14" s="396"/>
      <c r="E14" s="396"/>
      <c r="F14" s="396"/>
      <c r="G14" s="396"/>
      <c r="H14" s="396"/>
      <c r="I14" s="396"/>
      <c r="J14" s="396"/>
      <c r="K14" s="396"/>
      <c r="L14" s="396"/>
      <c r="M14" s="396"/>
      <c r="N14" s="396"/>
      <c r="O14" s="396"/>
      <c r="P14" s="396"/>
      <c r="Q14" s="396"/>
      <c r="R14" s="396"/>
      <c r="S14" s="396"/>
      <c r="T14" s="396"/>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6" s="403"/>
      <c r="C16" s="403"/>
      <c r="D16" s="403"/>
      <c r="E16" s="403"/>
      <c r="F16" s="403"/>
      <c r="G16" s="403"/>
      <c r="H16" s="403"/>
      <c r="I16" s="403"/>
      <c r="J16" s="403"/>
      <c r="K16" s="403"/>
      <c r="L16" s="403"/>
      <c r="M16" s="403"/>
      <c r="N16" s="403"/>
      <c r="O16" s="403"/>
      <c r="P16" s="403"/>
      <c r="Q16" s="403"/>
      <c r="R16" s="403"/>
      <c r="S16" s="403"/>
      <c r="T16" s="403"/>
    </row>
    <row r="17" spans="1:20" s="3" customFormat="1" ht="15" customHeight="1" x14ac:dyDescent="0.2">
      <c r="A17" s="396" t="s">
        <v>4</v>
      </c>
      <c r="B17" s="396"/>
      <c r="C17" s="396"/>
      <c r="D17" s="396"/>
      <c r="E17" s="396"/>
      <c r="F17" s="396"/>
      <c r="G17" s="396"/>
      <c r="H17" s="396"/>
      <c r="I17" s="396"/>
      <c r="J17" s="396"/>
      <c r="K17" s="396"/>
      <c r="L17" s="396"/>
      <c r="M17" s="396"/>
      <c r="N17" s="396"/>
      <c r="O17" s="396"/>
      <c r="P17" s="396"/>
      <c r="Q17" s="396"/>
      <c r="R17" s="396"/>
      <c r="S17" s="396"/>
      <c r="T17" s="396"/>
    </row>
    <row r="18" spans="1:20"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05"/>
    </row>
    <row r="19" spans="1:20" s="3" customFormat="1" ht="15" customHeight="1" x14ac:dyDescent="0.2">
      <c r="A19" s="398" t="s">
        <v>484</v>
      </c>
      <c r="B19" s="398"/>
      <c r="C19" s="398"/>
      <c r="D19" s="398"/>
      <c r="E19" s="398"/>
      <c r="F19" s="398"/>
      <c r="G19" s="398"/>
      <c r="H19" s="398"/>
      <c r="I19" s="398"/>
      <c r="J19" s="398"/>
      <c r="K19" s="398"/>
      <c r="L19" s="398"/>
      <c r="M19" s="398"/>
      <c r="N19" s="398"/>
      <c r="O19" s="398"/>
      <c r="P19" s="398"/>
      <c r="Q19" s="398"/>
      <c r="R19" s="398"/>
      <c r="S19" s="398"/>
      <c r="T19" s="398"/>
    </row>
    <row r="20" spans="1:20" s="58"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20" ht="46.5" customHeight="1" x14ac:dyDescent="0.25">
      <c r="A21" s="426" t="s">
        <v>3</v>
      </c>
      <c r="B21" s="419" t="s">
        <v>218</v>
      </c>
      <c r="C21" s="420"/>
      <c r="D21" s="423" t="s">
        <v>116</v>
      </c>
      <c r="E21" s="419" t="s">
        <v>513</v>
      </c>
      <c r="F21" s="420"/>
      <c r="G21" s="419" t="s">
        <v>268</v>
      </c>
      <c r="H21" s="420"/>
      <c r="I21" s="419" t="s">
        <v>115</v>
      </c>
      <c r="J21" s="420"/>
      <c r="K21" s="423" t="s">
        <v>114</v>
      </c>
      <c r="L21" s="419" t="s">
        <v>113</v>
      </c>
      <c r="M21" s="420"/>
      <c r="N21" s="419" t="s">
        <v>509</v>
      </c>
      <c r="O21" s="420"/>
      <c r="P21" s="423" t="s">
        <v>112</v>
      </c>
      <c r="Q21" s="412" t="s">
        <v>111</v>
      </c>
      <c r="R21" s="413"/>
      <c r="S21" s="412" t="s">
        <v>110</v>
      </c>
      <c r="T21" s="414"/>
    </row>
    <row r="22" spans="1:20" ht="204.75" customHeight="1" x14ac:dyDescent="0.25">
      <c r="A22" s="427"/>
      <c r="B22" s="421"/>
      <c r="C22" s="422"/>
      <c r="D22" s="425"/>
      <c r="E22" s="421"/>
      <c r="F22" s="422"/>
      <c r="G22" s="421"/>
      <c r="H22" s="422"/>
      <c r="I22" s="421"/>
      <c r="J22" s="422"/>
      <c r="K22" s="424"/>
      <c r="L22" s="421"/>
      <c r="M22" s="422"/>
      <c r="N22" s="421"/>
      <c r="O22" s="422"/>
      <c r="P22" s="424"/>
      <c r="Q22" s="113" t="s">
        <v>109</v>
      </c>
      <c r="R22" s="113" t="s">
        <v>483</v>
      </c>
      <c r="S22" s="113" t="s">
        <v>108</v>
      </c>
      <c r="T22" s="113" t="s">
        <v>107</v>
      </c>
    </row>
    <row r="23" spans="1:20" ht="51.75" customHeight="1" x14ac:dyDescent="0.25">
      <c r="A23" s="428"/>
      <c r="B23" s="165" t="s">
        <v>105</v>
      </c>
      <c r="C23" s="165" t="s">
        <v>106</v>
      </c>
      <c r="D23" s="424"/>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3" t="s">
        <v>105</v>
      </c>
      <c r="R23" s="113" t="s">
        <v>105</v>
      </c>
      <c r="S23" s="113" t="s">
        <v>105</v>
      </c>
      <c r="T23" s="113" t="s">
        <v>105</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s="58" customFormat="1" ht="47.25" x14ac:dyDescent="0.25">
      <c r="A25" s="416">
        <v>1</v>
      </c>
      <c r="B25" s="416" t="s">
        <v>372</v>
      </c>
      <c r="C25" s="416" t="s">
        <v>652</v>
      </c>
      <c r="D25" s="60" t="s">
        <v>101</v>
      </c>
      <c r="E25" s="60" t="s">
        <v>372</v>
      </c>
      <c r="F25" s="60" t="s">
        <v>649</v>
      </c>
      <c r="G25" s="60" t="s">
        <v>372</v>
      </c>
      <c r="H25" s="60" t="s">
        <v>650</v>
      </c>
      <c r="I25" s="60" t="s">
        <v>372</v>
      </c>
      <c r="J25" s="59" t="s">
        <v>673</v>
      </c>
      <c r="K25" s="59" t="s">
        <v>372</v>
      </c>
      <c r="L25" s="59" t="s">
        <v>372</v>
      </c>
      <c r="M25" s="61">
        <v>10</v>
      </c>
      <c r="N25" s="61" t="s">
        <v>372</v>
      </c>
      <c r="O25" s="61">
        <f>2*0.63</f>
        <v>1.26</v>
      </c>
      <c r="P25" s="59" t="s">
        <v>372</v>
      </c>
      <c r="Q25" s="168" t="s">
        <v>372</v>
      </c>
      <c r="R25" s="60" t="s">
        <v>372</v>
      </c>
      <c r="S25" s="168" t="s">
        <v>372</v>
      </c>
      <c r="T25" s="60" t="s">
        <v>372</v>
      </c>
    </row>
    <row r="26" spans="1:20" s="58" customFormat="1" ht="31.5" x14ac:dyDescent="0.25">
      <c r="A26" s="417"/>
      <c r="B26" s="417"/>
      <c r="C26" s="417"/>
      <c r="D26" s="53" t="s">
        <v>482</v>
      </c>
      <c r="E26" s="310" t="s">
        <v>372</v>
      </c>
      <c r="F26" s="310" t="s">
        <v>671</v>
      </c>
      <c r="G26" s="310" t="s">
        <v>372</v>
      </c>
      <c r="H26" s="310" t="s">
        <v>672</v>
      </c>
      <c r="I26" s="310" t="s">
        <v>372</v>
      </c>
      <c r="J26" s="59" t="s">
        <v>673</v>
      </c>
      <c r="K26" s="59" t="s">
        <v>372</v>
      </c>
      <c r="L26" s="59" t="s">
        <v>372</v>
      </c>
      <c r="M26" s="61">
        <v>10</v>
      </c>
      <c r="N26" s="61" t="s">
        <v>372</v>
      </c>
      <c r="O26" s="61" t="s">
        <v>372</v>
      </c>
      <c r="P26" s="61" t="s">
        <v>372</v>
      </c>
      <c r="Q26" s="61" t="s">
        <v>372</v>
      </c>
      <c r="R26" s="61" t="s">
        <v>372</v>
      </c>
      <c r="S26" s="61" t="s">
        <v>372</v>
      </c>
      <c r="T26" s="61" t="s">
        <v>372</v>
      </c>
    </row>
    <row r="27" spans="1:20" s="58" customFormat="1" ht="47.25" x14ac:dyDescent="0.25">
      <c r="A27" s="61">
        <v>2</v>
      </c>
      <c r="B27" s="311" t="s">
        <v>372</v>
      </c>
      <c r="C27" s="311" t="s">
        <v>653</v>
      </c>
      <c r="D27" s="60" t="s">
        <v>101</v>
      </c>
      <c r="E27" s="60" t="s">
        <v>372</v>
      </c>
      <c r="F27" s="60" t="s">
        <v>649</v>
      </c>
      <c r="G27" s="60" t="s">
        <v>372</v>
      </c>
      <c r="H27" s="60" t="s">
        <v>650</v>
      </c>
      <c r="I27" s="60" t="s">
        <v>372</v>
      </c>
      <c r="J27" s="59" t="s">
        <v>673</v>
      </c>
      <c r="K27" s="59" t="s">
        <v>372</v>
      </c>
      <c r="L27" s="59" t="s">
        <v>372</v>
      </c>
      <c r="M27" s="61">
        <v>10</v>
      </c>
      <c r="N27" s="61" t="s">
        <v>372</v>
      </c>
      <c r="O27" s="61">
        <f>2*0.4</f>
        <v>0.8</v>
      </c>
      <c r="P27" s="59" t="s">
        <v>372</v>
      </c>
      <c r="Q27" s="168" t="s">
        <v>372</v>
      </c>
      <c r="R27" s="60" t="s">
        <v>372</v>
      </c>
      <c r="S27" s="168" t="s">
        <v>372</v>
      </c>
      <c r="T27" s="60" t="s">
        <v>372</v>
      </c>
    </row>
    <row r="28" spans="1:20" s="58" customFormat="1" ht="47.25" x14ac:dyDescent="0.25">
      <c r="A28" s="61">
        <v>3</v>
      </c>
      <c r="B28" s="311" t="s">
        <v>372</v>
      </c>
      <c r="C28" s="311" t="s">
        <v>654</v>
      </c>
      <c r="D28" s="60" t="s">
        <v>101</v>
      </c>
      <c r="E28" s="60" t="s">
        <v>372</v>
      </c>
      <c r="F28" s="60" t="s">
        <v>649</v>
      </c>
      <c r="G28" s="60" t="s">
        <v>372</v>
      </c>
      <c r="H28" s="60" t="s">
        <v>650</v>
      </c>
      <c r="I28" s="60" t="s">
        <v>372</v>
      </c>
      <c r="J28" s="59" t="s">
        <v>673</v>
      </c>
      <c r="K28" s="59" t="s">
        <v>372</v>
      </c>
      <c r="L28" s="59" t="s">
        <v>372</v>
      </c>
      <c r="M28" s="61">
        <v>10</v>
      </c>
      <c r="N28" s="61" t="s">
        <v>372</v>
      </c>
      <c r="O28" s="61">
        <f>2*0.4</f>
        <v>0.8</v>
      </c>
      <c r="P28" s="59" t="s">
        <v>372</v>
      </c>
      <c r="Q28" s="168" t="s">
        <v>372</v>
      </c>
      <c r="R28" s="60" t="s">
        <v>372</v>
      </c>
      <c r="S28" s="168" t="s">
        <v>372</v>
      </c>
      <c r="T28" s="60" t="s">
        <v>372</v>
      </c>
    </row>
    <row r="29" spans="1:20" s="58" customFormat="1" ht="47.25" x14ac:dyDescent="0.25">
      <c r="A29" s="61">
        <v>4</v>
      </c>
      <c r="B29" s="311" t="s">
        <v>372</v>
      </c>
      <c r="C29" s="311" t="s">
        <v>655</v>
      </c>
      <c r="D29" s="60" t="s">
        <v>101</v>
      </c>
      <c r="E29" s="60" t="s">
        <v>372</v>
      </c>
      <c r="F29" s="60" t="s">
        <v>649</v>
      </c>
      <c r="G29" s="60" t="s">
        <v>372</v>
      </c>
      <c r="H29" s="60" t="s">
        <v>650</v>
      </c>
      <c r="I29" s="60" t="s">
        <v>372</v>
      </c>
      <c r="J29" s="59" t="s">
        <v>673</v>
      </c>
      <c r="K29" s="59" t="s">
        <v>372</v>
      </c>
      <c r="L29" s="59" t="s">
        <v>372</v>
      </c>
      <c r="M29" s="61">
        <v>10</v>
      </c>
      <c r="N29" s="61" t="s">
        <v>372</v>
      </c>
      <c r="O29" s="61">
        <f>2*0.1</f>
        <v>0.2</v>
      </c>
      <c r="P29" s="59" t="s">
        <v>372</v>
      </c>
      <c r="Q29" s="168" t="s">
        <v>372</v>
      </c>
      <c r="R29" s="60" t="s">
        <v>372</v>
      </c>
      <c r="S29" s="168" t="s">
        <v>372</v>
      </c>
      <c r="T29" s="60" t="s">
        <v>372</v>
      </c>
    </row>
    <row r="30" spans="1:20" s="58" customFormat="1" ht="31.5" x14ac:dyDescent="0.25">
      <c r="A30" s="61">
        <v>5</v>
      </c>
      <c r="B30" s="311" t="s">
        <v>372</v>
      </c>
      <c r="C30" s="311" t="s">
        <v>675</v>
      </c>
      <c r="D30" s="312" t="s">
        <v>482</v>
      </c>
      <c r="E30" s="60" t="s">
        <v>372</v>
      </c>
      <c r="F30" s="310" t="s">
        <v>671</v>
      </c>
      <c r="G30" s="60" t="s">
        <v>372</v>
      </c>
      <c r="H30" s="60" t="s">
        <v>674</v>
      </c>
      <c r="I30" s="60" t="s">
        <v>372</v>
      </c>
      <c r="J30" s="59" t="s">
        <v>673</v>
      </c>
      <c r="K30" s="59" t="s">
        <v>372</v>
      </c>
      <c r="L30" s="59" t="s">
        <v>372</v>
      </c>
      <c r="M30" s="61">
        <v>10</v>
      </c>
      <c r="N30" s="61" t="s">
        <v>372</v>
      </c>
      <c r="O30" s="61" t="s">
        <v>372</v>
      </c>
      <c r="P30" s="59" t="s">
        <v>372</v>
      </c>
      <c r="Q30" s="168" t="s">
        <v>372</v>
      </c>
      <c r="R30" s="60" t="s">
        <v>372</v>
      </c>
      <c r="S30" s="168" t="s">
        <v>372</v>
      </c>
      <c r="T30" s="60" t="s">
        <v>372</v>
      </c>
    </row>
    <row r="31" spans="1:20" ht="3" customHeight="1" x14ac:dyDescent="0.25"/>
    <row r="32" spans="1:20" s="56" customFormat="1" ht="12.75" x14ac:dyDescent="0.2">
      <c r="B32" s="57"/>
      <c r="C32" s="57"/>
      <c r="K32" s="57"/>
    </row>
    <row r="33" spans="2:113" s="56" customFormat="1" x14ac:dyDescent="0.25">
      <c r="B33" s="54" t="s">
        <v>104</v>
      </c>
      <c r="C33" s="54"/>
      <c r="D33" s="54"/>
      <c r="E33" s="54"/>
      <c r="F33" s="54"/>
      <c r="G33" s="54"/>
      <c r="H33" s="54"/>
      <c r="I33" s="54"/>
      <c r="J33" s="54"/>
      <c r="K33" s="54"/>
      <c r="L33" s="54"/>
      <c r="M33" s="54"/>
      <c r="N33" s="54"/>
      <c r="O33" s="54"/>
      <c r="P33" s="54"/>
      <c r="Q33" s="54"/>
      <c r="R33" s="54"/>
    </row>
    <row r="34" spans="2:113" x14ac:dyDescent="0.25">
      <c r="B34" s="418" t="s">
        <v>519</v>
      </c>
      <c r="C34" s="418"/>
      <c r="D34" s="418"/>
      <c r="E34" s="418"/>
      <c r="F34" s="418"/>
      <c r="G34" s="418"/>
      <c r="H34" s="418"/>
      <c r="I34" s="418"/>
      <c r="J34" s="418"/>
      <c r="K34" s="418"/>
      <c r="L34" s="418"/>
      <c r="M34" s="418"/>
      <c r="N34" s="418"/>
      <c r="O34" s="418"/>
      <c r="P34" s="418"/>
      <c r="Q34" s="418"/>
      <c r="R34" s="418"/>
    </row>
    <row r="35" spans="2:113" x14ac:dyDescent="0.25">
      <c r="B35" s="54"/>
      <c r="C35" s="54"/>
      <c r="D35" s="54"/>
      <c r="E35" s="54"/>
      <c r="F35" s="54"/>
      <c r="G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x14ac:dyDescent="0.25">
      <c r="B36" s="53" t="s">
        <v>482</v>
      </c>
      <c r="C36" s="53"/>
      <c r="D36" s="53"/>
      <c r="E36" s="53"/>
      <c r="F36" s="51"/>
      <c r="G36" s="51"/>
      <c r="H36" s="53"/>
      <c r="I36" s="53"/>
      <c r="J36" s="53"/>
      <c r="K36" s="53"/>
      <c r="L36" s="53"/>
      <c r="M36" s="53"/>
      <c r="N36" s="53"/>
      <c r="O36" s="53"/>
      <c r="P36" s="53"/>
      <c r="Q36" s="53"/>
      <c r="R36" s="53"/>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x14ac:dyDescent="0.25">
      <c r="B37" s="53" t="s">
        <v>103</v>
      </c>
      <c r="C37" s="53"/>
      <c r="D37" s="53"/>
      <c r="E37" s="53"/>
      <c r="F37" s="51"/>
      <c r="G37" s="51"/>
      <c r="H37" s="53"/>
      <c r="I37" s="53"/>
      <c r="J37" s="53"/>
      <c r="K37" s="53"/>
      <c r="L37" s="53"/>
      <c r="M37" s="53"/>
      <c r="N37" s="53"/>
      <c r="O37" s="53"/>
      <c r="P37" s="53"/>
      <c r="Q37" s="53"/>
      <c r="R37" s="53"/>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1" customFormat="1" x14ac:dyDescent="0.25">
      <c r="B38" s="53" t="s">
        <v>102</v>
      </c>
      <c r="C38" s="53"/>
      <c r="D38" s="53"/>
      <c r="E38" s="53"/>
      <c r="H38" s="53"/>
      <c r="I38" s="53"/>
      <c r="J38" s="53"/>
      <c r="K38" s="53"/>
      <c r="L38" s="53"/>
      <c r="M38" s="53"/>
      <c r="N38" s="53"/>
      <c r="O38" s="53"/>
      <c r="P38" s="53"/>
      <c r="Q38" s="53"/>
      <c r="R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99</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98</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B43" s="53" t="s">
        <v>97</v>
      </c>
      <c r="C43" s="53"/>
      <c r="D43" s="53"/>
      <c r="E43" s="53"/>
      <c r="H43" s="53"/>
      <c r="I43" s="53"/>
      <c r="J43" s="53"/>
      <c r="K43" s="53"/>
      <c r="L43" s="53"/>
      <c r="M43" s="53"/>
      <c r="N43" s="53"/>
      <c r="O43" s="53"/>
      <c r="P43" s="53"/>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B44" s="53" t="s">
        <v>96</v>
      </c>
      <c r="C44" s="53"/>
      <c r="D44" s="53"/>
      <c r="E44" s="53"/>
      <c r="H44" s="53"/>
      <c r="I44" s="53"/>
      <c r="J44" s="53"/>
      <c r="K44" s="53"/>
      <c r="L44" s="53"/>
      <c r="M44" s="53"/>
      <c r="N44" s="53"/>
      <c r="O44" s="53"/>
      <c r="P44" s="53"/>
      <c r="Q44" s="53"/>
      <c r="R44" s="53"/>
      <c r="S44" s="53"/>
      <c r="T44" s="53"/>
      <c r="U44" s="53"/>
      <c r="V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row r="45" spans="2:113" s="51" customFormat="1" x14ac:dyDescent="0.25">
      <c r="B45" s="53" t="s">
        <v>95</v>
      </c>
      <c r="C45" s="53"/>
      <c r="D45" s="53"/>
      <c r="E45" s="53"/>
      <c r="H45" s="53"/>
      <c r="I45" s="53"/>
      <c r="J45" s="53"/>
      <c r="K45" s="53"/>
      <c r="L45" s="53"/>
      <c r="M45" s="53"/>
      <c r="N45" s="53"/>
      <c r="O45" s="53"/>
      <c r="P45" s="53"/>
      <c r="Q45" s="53"/>
      <c r="R45" s="53"/>
      <c r="S45" s="53"/>
      <c r="T45" s="53"/>
      <c r="U45" s="53"/>
      <c r="V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row>
    <row r="46" spans="2:113" s="51" customFormat="1" x14ac:dyDescent="0.25">
      <c r="Q46" s="53"/>
      <c r="R46" s="53"/>
      <c r="S46" s="53"/>
      <c r="T46" s="53"/>
      <c r="U46" s="53"/>
      <c r="V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row>
    <row r="47" spans="2:113" s="51" customFormat="1" x14ac:dyDescent="0.25">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2"/>
      <c r="BL47" s="52"/>
      <c r="BM47" s="52"/>
      <c r="BN47" s="52"/>
      <c r="BO47" s="52"/>
      <c r="BP47" s="52"/>
      <c r="BQ47" s="52"/>
      <c r="BR47" s="52"/>
      <c r="BS47" s="52"/>
      <c r="BT47" s="52"/>
      <c r="BU47" s="52"/>
      <c r="BV47" s="52"/>
      <c r="BW47" s="52"/>
      <c r="BX47" s="52"/>
      <c r="BY47" s="52"/>
      <c r="BZ47" s="52"/>
      <c r="CA47" s="52"/>
      <c r="CB47" s="52"/>
      <c r="CC47" s="52"/>
      <c r="CD47" s="52"/>
      <c r="CE47" s="52"/>
      <c r="CF47" s="52"/>
      <c r="CG47" s="52"/>
      <c r="CH47" s="52"/>
      <c r="CI47" s="52"/>
      <c r="CJ47" s="52"/>
      <c r="CK47" s="52"/>
      <c r="CL47" s="52"/>
      <c r="CM47" s="52"/>
      <c r="CN47" s="52"/>
      <c r="CO47" s="52"/>
      <c r="CP47" s="52"/>
      <c r="CQ47" s="52"/>
      <c r="CR47" s="52"/>
      <c r="CS47" s="52"/>
      <c r="CT47" s="52"/>
      <c r="CU47" s="52"/>
      <c r="CV47" s="52"/>
      <c r="CW47" s="52"/>
      <c r="CX47" s="52"/>
      <c r="CY47" s="52"/>
      <c r="CZ47" s="52"/>
      <c r="DA47" s="52"/>
      <c r="DB47" s="52"/>
      <c r="DC47" s="52"/>
      <c r="DD47" s="52"/>
      <c r="DE47" s="52"/>
      <c r="DF47" s="52"/>
      <c r="DG47" s="52"/>
      <c r="DH47" s="52"/>
      <c r="DI47" s="52"/>
    </row>
  </sheetData>
  <mergeCells count="30">
    <mergeCell ref="A25:A26"/>
    <mergeCell ref="B25:B26"/>
    <mergeCell ref="C25:C26"/>
    <mergeCell ref="B34:R3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80" zoomScaleSheetLayoutView="80" workbookViewId="0">
      <selection activeCell="R31" sqref="R31"/>
    </sheetView>
  </sheetViews>
  <sheetFormatPr defaultColWidth="10.7109375" defaultRowHeight="15.75" x14ac:dyDescent="0.25"/>
  <cols>
    <col min="1" max="2" width="10.7109375" style="50"/>
    <col min="3" max="3" width="15.425781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2"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1" customFormat="1" x14ac:dyDescent="0.2">
      <c r="A6" s="169"/>
      <c r="B6" s="169"/>
      <c r="C6" s="169"/>
      <c r="D6" s="169"/>
      <c r="E6" s="169"/>
      <c r="F6" s="169"/>
      <c r="G6" s="169"/>
      <c r="H6" s="169"/>
      <c r="I6" s="169"/>
      <c r="J6" s="169"/>
      <c r="K6" s="169"/>
      <c r="L6" s="169"/>
      <c r="M6" s="169"/>
      <c r="N6" s="169"/>
      <c r="O6" s="169"/>
      <c r="P6" s="169"/>
      <c r="Q6" s="169"/>
      <c r="R6" s="169"/>
      <c r="S6" s="169"/>
      <c r="T6" s="169"/>
    </row>
    <row r="7" spans="1:27" s="11" customFormat="1" ht="18.75" x14ac:dyDescent="0.2">
      <c r="E7" s="399" t="s">
        <v>7</v>
      </c>
      <c r="F7" s="399"/>
      <c r="G7" s="399"/>
      <c r="H7" s="399"/>
      <c r="I7" s="399"/>
      <c r="J7" s="399"/>
      <c r="K7" s="399"/>
      <c r="L7" s="399"/>
      <c r="M7" s="399"/>
      <c r="N7" s="399"/>
      <c r="O7" s="399"/>
      <c r="P7" s="399"/>
      <c r="Q7" s="399"/>
      <c r="R7" s="399"/>
      <c r="S7" s="399"/>
      <c r="T7" s="399"/>
      <c r="U7" s="399"/>
      <c r="V7" s="399"/>
      <c r="W7" s="399"/>
      <c r="X7" s="399"/>
      <c r="Y7" s="39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3" t="str">
        <f>'1. паспорт местоположение'!A9</f>
        <v>Акционерное общество "Янтарьэнерго" ДЗО  ПАО "Россети"</v>
      </c>
      <c r="F9" s="403"/>
      <c r="G9" s="403"/>
      <c r="H9" s="403"/>
      <c r="I9" s="403"/>
      <c r="J9" s="403"/>
      <c r="K9" s="403"/>
      <c r="L9" s="403"/>
      <c r="M9" s="403"/>
      <c r="N9" s="403"/>
      <c r="O9" s="403"/>
      <c r="P9" s="403"/>
      <c r="Q9" s="403"/>
      <c r="R9" s="403"/>
      <c r="S9" s="403"/>
      <c r="T9" s="403"/>
      <c r="U9" s="403"/>
      <c r="V9" s="403"/>
      <c r="W9" s="403"/>
      <c r="X9" s="403"/>
      <c r="Y9" s="403"/>
    </row>
    <row r="10" spans="1:27" s="11" customFormat="1" ht="18.75" customHeight="1" x14ac:dyDescent="0.2">
      <c r="E10" s="396" t="s">
        <v>6</v>
      </c>
      <c r="F10" s="396"/>
      <c r="G10" s="396"/>
      <c r="H10" s="396"/>
      <c r="I10" s="396"/>
      <c r="J10" s="396"/>
      <c r="K10" s="396"/>
      <c r="L10" s="396"/>
      <c r="M10" s="396"/>
      <c r="N10" s="396"/>
      <c r="O10" s="396"/>
      <c r="P10" s="396"/>
      <c r="Q10" s="396"/>
      <c r="R10" s="396"/>
      <c r="S10" s="396"/>
      <c r="T10" s="396"/>
      <c r="U10" s="396"/>
      <c r="V10" s="396"/>
      <c r="W10" s="396"/>
      <c r="X10" s="396"/>
      <c r="Y10" s="39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3" t="str">
        <f>'1. паспорт местоположение'!A12</f>
        <v>Н_16-0190</v>
      </c>
      <c r="F12" s="403"/>
      <c r="G12" s="403"/>
      <c r="H12" s="403"/>
      <c r="I12" s="403"/>
      <c r="J12" s="403"/>
      <c r="K12" s="403"/>
      <c r="L12" s="403"/>
      <c r="M12" s="403"/>
      <c r="N12" s="403"/>
      <c r="O12" s="403"/>
      <c r="P12" s="403"/>
      <c r="Q12" s="403"/>
      <c r="R12" s="403"/>
      <c r="S12" s="403"/>
      <c r="T12" s="403"/>
      <c r="U12" s="403"/>
      <c r="V12" s="403"/>
      <c r="W12" s="403"/>
      <c r="X12" s="403"/>
      <c r="Y12" s="403"/>
    </row>
    <row r="13" spans="1:27" s="11" customFormat="1" ht="18.75" customHeight="1" x14ac:dyDescent="0.2">
      <c r="E13" s="396" t="s">
        <v>5</v>
      </c>
      <c r="F13" s="396"/>
      <c r="G13" s="396"/>
      <c r="H13" s="396"/>
      <c r="I13" s="396"/>
      <c r="J13" s="396"/>
      <c r="K13" s="396"/>
      <c r="L13" s="396"/>
      <c r="M13" s="396"/>
      <c r="N13" s="396"/>
      <c r="O13" s="396"/>
      <c r="P13" s="396"/>
      <c r="Q13" s="396"/>
      <c r="R13" s="396"/>
      <c r="S13" s="396"/>
      <c r="T13" s="396"/>
      <c r="U13" s="396"/>
      <c r="V13" s="396"/>
      <c r="W13" s="396"/>
      <c r="X13" s="396"/>
      <c r="Y13" s="39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F15" s="403"/>
      <c r="G15" s="403"/>
      <c r="H15" s="403"/>
      <c r="I15" s="403"/>
      <c r="J15" s="403"/>
      <c r="K15" s="403"/>
      <c r="L15" s="403"/>
      <c r="M15" s="403"/>
      <c r="N15" s="403"/>
      <c r="O15" s="403"/>
      <c r="P15" s="403"/>
      <c r="Q15" s="403"/>
      <c r="R15" s="403"/>
      <c r="S15" s="403"/>
      <c r="T15" s="403"/>
      <c r="U15" s="403"/>
      <c r="V15" s="403"/>
      <c r="W15" s="403"/>
      <c r="X15" s="403"/>
      <c r="Y15" s="403"/>
    </row>
    <row r="16" spans="1:27" s="3" customFormat="1" ht="15" customHeight="1" x14ac:dyDescent="0.2">
      <c r="E16" s="396" t="s">
        <v>4</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486</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58" customFormat="1" ht="21" customHeight="1" x14ac:dyDescent="0.25"/>
    <row r="21" spans="1:27" ht="15.75" customHeight="1" x14ac:dyDescent="0.25">
      <c r="A21" s="429" t="s">
        <v>3</v>
      </c>
      <c r="B21" s="431" t="s">
        <v>493</v>
      </c>
      <c r="C21" s="432"/>
      <c r="D21" s="431" t="s">
        <v>495</v>
      </c>
      <c r="E21" s="432"/>
      <c r="F21" s="412" t="s">
        <v>88</v>
      </c>
      <c r="G21" s="414"/>
      <c r="H21" s="414"/>
      <c r="I21" s="413"/>
      <c r="J21" s="429" t="s">
        <v>496</v>
      </c>
      <c r="K21" s="431" t="s">
        <v>497</v>
      </c>
      <c r="L21" s="432"/>
      <c r="M21" s="431" t="s">
        <v>498</v>
      </c>
      <c r="N21" s="432"/>
      <c r="O21" s="431" t="s">
        <v>485</v>
      </c>
      <c r="P21" s="432"/>
      <c r="Q21" s="431" t="s">
        <v>121</v>
      </c>
      <c r="R21" s="432"/>
      <c r="S21" s="429" t="s">
        <v>120</v>
      </c>
      <c r="T21" s="429" t="s">
        <v>499</v>
      </c>
      <c r="U21" s="429" t="s">
        <v>494</v>
      </c>
      <c r="V21" s="431" t="s">
        <v>119</v>
      </c>
      <c r="W21" s="432"/>
      <c r="X21" s="412" t="s">
        <v>111</v>
      </c>
      <c r="Y21" s="414"/>
      <c r="Z21" s="412" t="s">
        <v>110</v>
      </c>
      <c r="AA21" s="414"/>
    </row>
    <row r="22" spans="1:27" ht="216" customHeight="1" x14ac:dyDescent="0.25">
      <c r="A22" s="435"/>
      <c r="B22" s="433"/>
      <c r="C22" s="434"/>
      <c r="D22" s="433"/>
      <c r="E22" s="434"/>
      <c r="F22" s="412" t="s">
        <v>118</v>
      </c>
      <c r="G22" s="413"/>
      <c r="H22" s="412" t="s">
        <v>117</v>
      </c>
      <c r="I22" s="413"/>
      <c r="J22" s="430"/>
      <c r="K22" s="433"/>
      <c r="L22" s="434"/>
      <c r="M22" s="433"/>
      <c r="N22" s="434"/>
      <c r="O22" s="433"/>
      <c r="P22" s="434"/>
      <c r="Q22" s="433"/>
      <c r="R22" s="434"/>
      <c r="S22" s="430"/>
      <c r="T22" s="430"/>
      <c r="U22" s="430"/>
      <c r="V22" s="433"/>
      <c r="W22" s="434"/>
      <c r="X22" s="113" t="s">
        <v>109</v>
      </c>
      <c r="Y22" s="113" t="s">
        <v>483</v>
      </c>
      <c r="Z22" s="113" t="s">
        <v>108</v>
      </c>
      <c r="AA22" s="113" t="s">
        <v>107</v>
      </c>
    </row>
    <row r="23" spans="1:27" ht="60" customHeight="1" x14ac:dyDescent="0.25">
      <c r="A23" s="430"/>
      <c r="B23" s="163" t="s">
        <v>105</v>
      </c>
      <c r="C23" s="163"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3" t="s">
        <v>105</v>
      </c>
      <c r="AA23" s="113" t="s">
        <v>105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8" customFormat="1" ht="78.75" x14ac:dyDescent="0.25">
      <c r="A25" s="62">
        <v>1</v>
      </c>
      <c r="B25" s="62" t="s">
        <v>372</v>
      </c>
      <c r="C25" s="60" t="s">
        <v>665</v>
      </c>
      <c r="D25" s="62" t="s">
        <v>372</v>
      </c>
      <c r="E25" s="60" t="s">
        <v>665</v>
      </c>
      <c r="F25" s="62" t="s">
        <v>372</v>
      </c>
      <c r="G25" s="62">
        <v>10</v>
      </c>
      <c r="H25" s="62" t="s">
        <v>372</v>
      </c>
      <c r="I25" s="62">
        <v>10</v>
      </c>
      <c r="J25" s="62" t="s">
        <v>372</v>
      </c>
      <c r="K25" s="62" t="s">
        <v>372</v>
      </c>
      <c r="L25" s="62">
        <v>2</v>
      </c>
      <c r="M25" s="62" t="s">
        <v>372</v>
      </c>
      <c r="N25" s="62">
        <v>240</v>
      </c>
      <c r="O25" s="62" t="s">
        <v>372</v>
      </c>
      <c r="P25" s="62" t="s">
        <v>648</v>
      </c>
      <c r="Q25" s="62" t="s">
        <v>372</v>
      </c>
      <c r="R25" s="62">
        <v>2.1859999999999999</v>
      </c>
      <c r="S25" s="62" t="s">
        <v>372</v>
      </c>
      <c r="T25" s="62" t="s">
        <v>372</v>
      </c>
      <c r="U25" s="62" t="s">
        <v>372</v>
      </c>
      <c r="V25" s="62" t="s">
        <v>372</v>
      </c>
      <c r="W25" s="62" t="s">
        <v>647</v>
      </c>
      <c r="X25" s="62" t="s">
        <v>372</v>
      </c>
      <c r="Y25" s="62" t="s">
        <v>372</v>
      </c>
      <c r="Z25" s="62" t="s">
        <v>372</v>
      </c>
      <c r="AA25" s="62" t="s">
        <v>372</v>
      </c>
    </row>
    <row r="26" spans="1:27" s="58" customFormat="1" ht="78.75" x14ac:dyDescent="0.25">
      <c r="A26" s="62">
        <v>2</v>
      </c>
      <c r="B26" s="62" t="s">
        <v>372</v>
      </c>
      <c r="C26" s="60" t="s">
        <v>666</v>
      </c>
      <c r="D26" s="62" t="s">
        <v>372</v>
      </c>
      <c r="E26" s="60" t="s">
        <v>666</v>
      </c>
      <c r="F26" s="62" t="s">
        <v>372</v>
      </c>
      <c r="G26" s="62">
        <v>10</v>
      </c>
      <c r="H26" s="62" t="s">
        <v>372</v>
      </c>
      <c r="I26" s="62">
        <v>10</v>
      </c>
      <c r="J26" s="62" t="s">
        <v>372</v>
      </c>
      <c r="K26" s="62" t="s">
        <v>372</v>
      </c>
      <c r="L26" s="62">
        <v>2</v>
      </c>
      <c r="M26" s="62" t="s">
        <v>372</v>
      </c>
      <c r="N26" s="62">
        <v>120</v>
      </c>
      <c r="O26" s="62" t="s">
        <v>372</v>
      </c>
      <c r="P26" s="62" t="s">
        <v>648</v>
      </c>
      <c r="Q26" s="62" t="s">
        <v>372</v>
      </c>
      <c r="R26" s="62">
        <v>1.694</v>
      </c>
      <c r="S26" s="62" t="s">
        <v>372</v>
      </c>
      <c r="T26" s="62" t="s">
        <v>372</v>
      </c>
      <c r="U26" s="62" t="s">
        <v>372</v>
      </c>
      <c r="V26" s="62" t="s">
        <v>372</v>
      </c>
      <c r="W26" s="62" t="s">
        <v>647</v>
      </c>
      <c r="X26" s="62" t="s">
        <v>372</v>
      </c>
      <c r="Y26" s="62" t="s">
        <v>372</v>
      </c>
      <c r="Z26" s="62" t="s">
        <v>372</v>
      </c>
      <c r="AA26" s="62" t="s">
        <v>372</v>
      </c>
    </row>
    <row r="27" spans="1:27" s="58" customFormat="1" ht="63" x14ac:dyDescent="0.25">
      <c r="A27" s="62">
        <v>3</v>
      </c>
      <c r="B27" s="62" t="s">
        <v>372</v>
      </c>
      <c r="C27" s="60" t="s">
        <v>667</v>
      </c>
      <c r="D27" s="62" t="s">
        <v>372</v>
      </c>
      <c r="E27" s="60" t="s">
        <v>667</v>
      </c>
      <c r="F27" s="62" t="s">
        <v>372</v>
      </c>
      <c r="G27" s="62">
        <v>10</v>
      </c>
      <c r="H27" s="62" t="s">
        <v>372</v>
      </c>
      <c r="I27" s="62">
        <v>10</v>
      </c>
      <c r="J27" s="62" t="s">
        <v>372</v>
      </c>
      <c r="K27" s="62" t="s">
        <v>372</v>
      </c>
      <c r="L27" s="62">
        <v>2</v>
      </c>
      <c r="M27" s="62" t="s">
        <v>372</v>
      </c>
      <c r="N27" s="62">
        <v>120</v>
      </c>
      <c r="O27" s="62" t="s">
        <v>372</v>
      </c>
      <c r="P27" s="62" t="s">
        <v>648</v>
      </c>
      <c r="Q27" s="62" t="s">
        <v>372</v>
      </c>
      <c r="R27" s="62">
        <v>1.95</v>
      </c>
      <c r="S27" s="62" t="s">
        <v>372</v>
      </c>
      <c r="T27" s="62" t="s">
        <v>372</v>
      </c>
      <c r="U27" s="62" t="s">
        <v>372</v>
      </c>
      <c r="V27" s="62" t="s">
        <v>372</v>
      </c>
      <c r="W27" s="62" t="s">
        <v>647</v>
      </c>
      <c r="X27" s="62" t="s">
        <v>372</v>
      </c>
      <c r="Y27" s="62" t="s">
        <v>372</v>
      </c>
      <c r="Z27" s="62" t="s">
        <v>372</v>
      </c>
      <c r="AA27" s="62" t="s">
        <v>372</v>
      </c>
    </row>
    <row r="28" spans="1:27" s="58" customFormat="1" ht="63" x14ac:dyDescent="0.25">
      <c r="A28" s="62">
        <v>4</v>
      </c>
      <c r="B28" s="62" t="s">
        <v>372</v>
      </c>
      <c r="C28" s="60" t="s">
        <v>656</v>
      </c>
      <c r="D28" s="62" t="s">
        <v>372</v>
      </c>
      <c r="E28" s="60" t="s">
        <v>656</v>
      </c>
      <c r="F28" s="62" t="s">
        <v>372</v>
      </c>
      <c r="G28" s="62">
        <v>10</v>
      </c>
      <c r="H28" s="62" t="s">
        <v>372</v>
      </c>
      <c r="I28" s="62">
        <v>10</v>
      </c>
      <c r="J28" s="62" t="s">
        <v>372</v>
      </c>
      <c r="K28" s="62" t="s">
        <v>372</v>
      </c>
      <c r="L28" s="62">
        <v>2</v>
      </c>
      <c r="M28" s="62" t="s">
        <v>372</v>
      </c>
      <c r="N28" s="62">
        <v>120</v>
      </c>
      <c r="O28" s="62" t="s">
        <v>372</v>
      </c>
      <c r="P28" s="62" t="s">
        <v>648</v>
      </c>
      <c r="Q28" s="62" t="s">
        <v>372</v>
      </c>
      <c r="R28" s="62">
        <v>1.6</v>
      </c>
      <c r="S28" s="62" t="s">
        <v>372</v>
      </c>
      <c r="T28" s="62" t="s">
        <v>372</v>
      </c>
      <c r="U28" s="62" t="s">
        <v>372</v>
      </c>
      <c r="V28" s="62" t="s">
        <v>372</v>
      </c>
      <c r="W28" s="62" t="s">
        <v>647</v>
      </c>
      <c r="X28" s="62" t="s">
        <v>372</v>
      </c>
      <c r="Y28" s="62" t="s">
        <v>372</v>
      </c>
      <c r="Z28" s="62" t="s">
        <v>372</v>
      </c>
      <c r="AA28" s="62" t="s">
        <v>372</v>
      </c>
    </row>
    <row r="29" spans="1:27" ht="3" customHeight="1" x14ac:dyDescent="0.25">
      <c r="X29" s="115"/>
      <c r="Y29" s="116"/>
      <c r="Z29" s="51"/>
      <c r="AA29" s="51"/>
    </row>
    <row r="30" spans="1:27" s="56" customFormat="1" ht="12.75" x14ac:dyDescent="0.2">
      <c r="A30" s="57"/>
      <c r="B30" s="57"/>
      <c r="C30" s="57"/>
      <c r="E30" s="57"/>
      <c r="R30" s="56">
        <f>SUM(R25:R28)</f>
        <v>7.43</v>
      </c>
      <c r="X30" s="117"/>
      <c r="Y30" s="117"/>
      <c r="Z30" s="117"/>
      <c r="AA30" s="117"/>
    </row>
    <row r="31" spans="1:27" s="56" customFormat="1" ht="12.75" x14ac:dyDescent="0.2">
      <c r="A31" s="57"/>
      <c r="B31" s="57"/>
      <c r="C31"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2"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5" t="str">
        <f>'1. паспорт местоположение'!A5:C5</f>
        <v>Год раскрытия информации: 2020 год</v>
      </c>
      <c r="B5" s="395"/>
      <c r="C5" s="395"/>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1" customFormat="1" ht="18.75" x14ac:dyDescent="0.3">
      <c r="A6" s="16"/>
      <c r="E6" s="15"/>
      <c r="F6" s="15"/>
      <c r="G6" s="14"/>
    </row>
    <row r="7" spans="1:29" s="11" customFormat="1" ht="18.75" x14ac:dyDescent="0.2">
      <c r="A7" s="399" t="s">
        <v>7</v>
      </c>
      <c r="B7" s="399"/>
      <c r="C7" s="399"/>
      <c r="D7" s="12"/>
      <c r="E7" s="12"/>
      <c r="F7" s="12"/>
      <c r="G7" s="12"/>
      <c r="H7" s="12"/>
      <c r="I7" s="12"/>
      <c r="J7" s="12"/>
      <c r="K7" s="12"/>
      <c r="L7" s="12"/>
      <c r="M7" s="12"/>
      <c r="N7" s="12"/>
      <c r="O7" s="12"/>
      <c r="P7" s="12"/>
      <c r="Q7" s="12"/>
      <c r="R7" s="12"/>
      <c r="S7" s="12"/>
      <c r="T7" s="12"/>
      <c r="U7" s="12"/>
    </row>
    <row r="8" spans="1:29" s="11" customFormat="1" ht="18.75" x14ac:dyDescent="0.2">
      <c r="A8" s="399"/>
      <c r="B8" s="399"/>
      <c r="C8" s="399"/>
      <c r="D8" s="13"/>
      <c r="E8" s="13"/>
      <c r="F8" s="13"/>
      <c r="G8" s="13"/>
      <c r="H8" s="12"/>
      <c r="I8" s="12"/>
      <c r="J8" s="12"/>
      <c r="K8" s="12"/>
      <c r="L8" s="12"/>
      <c r="M8" s="12"/>
      <c r="N8" s="12"/>
      <c r="O8" s="12"/>
      <c r="P8" s="12"/>
      <c r="Q8" s="12"/>
      <c r="R8" s="12"/>
      <c r="S8" s="12"/>
      <c r="T8" s="12"/>
      <c r="U8" s="12"/>
    </row>
    <row r="9" spans="1:29" s="11" customFormat="1" ht="18.75" x14ac:dyDescent="0.2">
      <c r="A9" s="403" t="str">
        <f>'1. паспорт местоположение'!A9:C9</f>
        <v>Акционерное общество "Янтарьэнерго" ДЗО  ПАО "Россети"</v>
      </c>
      <c r="B9" s="403"/>
      <c r="C9" s="403"/>
      <c r="D9" s="7"/>
      <c r="E9" s="7"/>
      <c r="F9" s="7"/>
      <c r="G9" s="7"/>
      <c r="H9" s="12"/>
      <c r="I9" s="12"/>
      <c r="J9" s="12"/>
      <c r="K9" s="12"/>
      <c r="L9" s="12"/>
      <c r="M9" s="12"/>
      <c r="N9" s="12"/>
      <c r="O9" s="12"/>
      <c r="P9" s="12"/>
      <c r="Q9" s="12"/>
      <c r="R9" s="12"/>
      <c r="S9" s="12"/>
      <c r="T9" s="12"/>
      <c r="U9" s="12"/>
    </row>
    <row r="10" spans="1:29" s="11" customFormat="1" ht="18.75" x14ac:dyDescent="0.2">
      <c r="A10" s="396" t="s">
        <v>6</v>
      </c>
      <c r="B10" s="396"/>
      <c r="C10" s="396"/>
      <c r="D10" s="5"/>
      <c r="E10" s="5"/>
      <c r="F10" s="5"/>
      <c r="G10" s="5"/>
      <c r="H10" s="12"/>
      <c r="I10" s="12"/>
      <c r="J10" s="12"/>
      <c r="K10" s="12"/>
      <c r="L10" s="12"/>
      <c r="M10" s="12"/>
      <c r="N10" s="12"/>
      <c r="O10" s="12"/>
      <c r="P10" s="12"/>
      <c r="Q10" s="12"/>
      <c r="R10" s="12"/>
      <c r="S10" s="12"/>
      <c r="T10" s="12"/>
      <c r="U10" s="12"/>
    </row>
    <row r="11" spans="1:29" s="11" customFormat="1" ht="18.75" x14ac:dyDescent="0.2">
      <c r="A11" s="399"/>
      <c r="B11" s="399"/>
      <c r="C11" s="399"/>
      <c r="D11" s="13"/>
      <c r="E11" s="13"/>
      <c r="F11" s="13"/>
      <c r="G11" s="13"/>
      <c r="H11" s="12"/>
      <c r="I11" s="12"/>
      <c r="J11" s="12"/>
      <c r="K11" s="12"/>
      <c r="L11" s="12"/>
      <c r="M11" s="12"/>
      <c r="N11" s="12"/>
      <c r="O11" s="12"/>
      <c r="P11" s="12"/>
      <c r="Q11" s="12"/>
      <c r="R11" s="12"/>
      <c r="S11" s="12"/>
      <c r="T11" s="12"/>
      <c r="U11" s="12"/>
    </row>
    <row r="12" spans="1:29" s="11" customFormat="1" ht="18.75" x14ac:dyDescent="0.2">
      <c r="A12" s="403" t="str">
        <f>'1. паспорт местоположение'!A12:C12</f>
        <v>Н_16-0190</v>
      </c>
      <c r="B12" s="403"/>
      <c r="C12" s="403"/>
      <c r="D12" s="7"/>
      <c r="E12" s="7"/>
      <c r="F12" s="7"/>
      <c r="G12" s="7"/>
      <c r="H12" s="12"/>
      <c r="I12" s="12"/>
      <c r="J12" s="12"/>
      <c r="K12" s="12"/>
      <c r="L12" s="12"/>
      <c r="M12" s="12"/>
      <c r="N12" s="12"/>
      <c r="O12" s="12"/>
      <c r="P12" s="12"/>
      <c r="Q12" s="12"/>
      <c r="R12" s="12"/>
      <c r="S12" s="12"/>
      <c r="T12" s="12"/>
      <c r="U12" s="12"/>
    </row>
    <row r="13" spans="1:29" s="11" customFormat="1" ht="18.75" x14ac:dyDescent="0.2">
      <c r="A13" s="396" t="s">
        <v>5</v>
      </c>
      <c r="B13" s="396"/>
      <c r="C13" s="39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12" x14ac:dyDescent="0.2">
      <c r="A15"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03"/>
      <c r="C15" s="403"/>
      <c r="D15" s="7"/>
      <c r="E15" s="7"/>
      <c r="F15" s="7"/>
      <c r="G15" s="7"/>
      <c r="H15" s="7"/>
      <c r="I15" s="7"/>
      <c r="J15" s="7"/>
      <c r="K15" s="7"/>
      <c r="L15" s="7"/>
      <c r="M15" s="7"/>
      <c r="N15" s="7"/>
      <c r="O15" s="7"/>
      <c r="P15" s="7"/>
      <c r="Q15" s="7"/>
      <c r="R15" s="7"/>
      <c r="S15" s="7"/>
      <c r="T15" s="7"/>
      <c r="U15" s="7"/>
    </row>
    <row r="16" spans="1:29" s="3" customFormat="1" ht="15" customHeight="1" x14ac:dyDescent="0.2">
      <c r="A16" s="396" t="s">
        <v>4</v>
      </c>
      <c r="B16" s="396"/>
      <c r="C16" s="396"/>
      <c r="D16" s="5"/>
      <c r="E16" s="5"/>
      <c r="F16" s="5"/>
      <c r="G16" s="5"/>
      <c r="H16" s="5"/>
      <c r="I16" s="5"/>
      <c r="J16" s="5"/>
      <c r="K16" s="5"/>
      <c r="L16" s="5"/>
      <c r="M16" s="5"/>
      <c r="N16" s="5"/>
      <c r="O16" s="5"/>
      <c r="P16" s="5"/>
      <c r="Q16" s="5"/>
      <c r="R16" s="5"/>
      <c r="S16" s="5"/>
      <c r="T16" s="5"/>
      <c r="U16" s="5"/>
    </row>
    <row r="17" spans="1:21" s="3" customFormat="1" ht="15" customHeight="1" x14ac:dyDescent="0.2">
      <c r="A17" s="405"/>
      <c r="B17" s="405"/>
      <c r="C17" s="405"/>
      <c r="D17" s="4"/>
      <c r="E17" s="4"/>
      <c r="F17" s="4"/>
      <c r="G17" s="4"/>
      <c r="H17" s="4"/>
      <c r="I17" s="4"/>
      <c r="J17" s="4"/>
      <c r="K17" s="4"/>
      <c r="L17" s="4"/>
      <c r="M17" s="4"/>
      <c r="N17" s="4"/>
      <c r="O17" s="4"/>
      <c r="P17" s="4"/>
      <c r="Q17" s="4"/>
      <c r="R17" s="4"/>
    </row>
    <row r="18" spans="1:21" s="3" customFormat="1" ht="27.75" customHeight="1" x14ac:dyDescent="0.2">
      <c r="A18" s="397" t="s">
        <v>478</v>
      </c>
      <c r="B18" s="397"/>
      <c r="C18" s="39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41" t="s">
        <v>64</v>
      </c>
      <c r="C20" s="40"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491</v>
      </c>
      <c r="C22" s="304" t="s">
        <v>680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5"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1,2473 МВт</v>
      </c>
      <c r="D23" s="26"/>
      <c r="E23" s="26"/>
      <c r="F23" s="26"/>
      <c r="G23" s="26"/>
      <c r="H23" s="26"/>
      <c r="I23" s="26"/>
      <c r="J23" s="26"/>
      <c r="K23" s="26"/>
      <c r="L23" s="26"/>
      <c r="M23" s="26"/>
      <c r="N23" s="26"/>
      <c r="O23" s="26"/>
      <c r="P23" s="26"/>
      <c r="Q23" s="26"/>
      <c r="R23" s="26"/>
      <c r="S23" s="26"/>
      <c r="T23" s="26"/>
      <c r="U23" s="26"/>
    </row>
    <row r="24" spans="1:21" ht="77.25" customHeight="1" x14ac:dyDescent="0.25">
      <c r="A24" s="27" t="s">
        <v>60</v>
      </c>
      <c r="B24" s="29" t="s">
        <v>511</v>
      </c>
      <c r="C24" s="28" t="s">
        <v>746</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512</v>
      </c>
      <c r="C25" s="28" t="s">
        <v>771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226</v>
      </c>
      <c r="C26" s="28" t="s">
        <v>681</v>
      </c>
      <c r="D26" s="26"/>
      <c r="E26" s="26"/>
      <c r="F26" s="26"/>
      <c r="G26" s="26"/>
      <c r="H26" s="26"/>
      <c r="I26" s="26"/>
      <c r="J26" s="26"/>
      <c r="K26" s="26"/>
      <c r="L26" s="26"/>
      <c r="M26" s="26"/>
      <c r="N26" s="26"/>
      <c r="O26" s="26"/>
      <c r="P26" s="26"/>
      <c r="Q26" s="26"/>
      <c r="R26" s="26"/>
      <c r="S26" s="26"/>
      <c r="T26" s="26"/>
      <c r="U26" s="26"/>
    </row>
    <row r="27" spans="1:21" ht="63" x14ac:dyDescent="0.25">
      <c r="A27" s="27" t="s">
        <v>56</v>
      </c>
      <c r="B27" s="29" t="s">
        <v>492</v>
      </c>
      <c r="C27" s="326" t="s">
        <v>753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3">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3">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748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4" t="s">
        <v>8</v>
      </c>
    </row>
    <row r="3" spans="1:28" ht="18.75" x14ac:dyDescent="0.3">
      <c r="Z3" s="14" t="s">
        <v>65</v>
      </c>
    </row>
    <row r="4" spans="1:28" ht="18.75" customHeight="1" x14ac:dyDescent="0.25">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60"/>
      <c r="AB6" s="160"/>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60"/>
      <c r="AB7" s="160"/>
    </row>
    <row r="8" spans="1:28" x14ac:dyDescent="0.25">
      <c r="A8" s="403" t="str">
        <f>'1. паспорт местоположение'!A9</f>
        <v>Акционерное общество "Янтарьэнерго"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61"/>
      <c r="AB8" s="161"/>
    </row>
    <row r="9" spans="1:28" ht="15.75"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62"/>
      <c r="AB9" s="162"/>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60"/>
      <c r="AB10" s="160"/>
    </row>
    <row r="11" spans="1:28" x14ac:dyDescent="0.25">
      <c r="A11" s="403" t="str">
        <f>'1. паспорт местоположение'!A12:C12</f>
        <v>Н_16-0190</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61"/>
      <c r="AB11" s="161"/>
    </row>
    <row r="12" spans="1:28" ht="15.75"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62"/>
      <c r="AB12" s="162"/>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x14ac:dyDescent="0.25">
      <c r="A14"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161"/>
      <c r="AB14" s="161"/>
    </row>
    <row r="15" spans="1:28" ht="15.75"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62"/>
      <c r="AB15" s="162"/>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71"/>
      <c r="AB16" s="171"/>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71"/>
      <c r="AB17" s="171"/>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71"/>
      <c r="AB18" s="171"/>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71"/>
      <c r="AB19" s="171"/>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72"/>
      <c r="AB20" s="172"/>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72"/>
      <c r="AB21" s="172"/>
    </row>
    <row r="22" spans="1:28" x14ac:dyDescent="0.25">
      <c r="A22" s="438" t="s">
        <v>510</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73"/>
      <c r="AB22" s="173"/>
    </row>
    <row r="23" spans="1:28" ht="32.25" customHeight="1" x14ac:dyDescent="0.25">
      <c r="A23" s="440" t="s">
        <v>369</v>
      </c>
      <c r="B23" s="441"/>
      <c r="C23" s="441"/>
      <c r="D23" s="441"/>
      <c r="E23" s="441"/>
      <c r="F23" s="441"/>
      <c r="G23" s="441"/>
      <c r="H23" s="441"/>
      <c r="I23" s="441"/>
      <c r="J23" s="441"/>
      <c r="K23" s="441"/>
      <c r="L23" s="442"/>
      <c r="M23" s="439" t="s">
        <v>370</v>
      </c>
      <c r="N23" s="439"/>
      <c r="O23" s="439"/>
      <c r="P23" s="439"/>
      <c r="Q23" s="439"/>
      <c r="R23" s="439"/>
      <c r="S23" s="439"/>
      <c r="T23" s="439"/>
      <c r="U23" s="439"/>
      <c r="V23" s="439"/>
      <c r="W23" s="439"/>
      <c r="X23" s="439"/>
      <c r="Y23" s="439"/>
      <c r="Z23" s="439"/>
    </row>
    <row r="24" spans="1:28" ht="151.5" customHeight="1" x14ac:dyDescent="0.25">
      <c r="A24" s="110" t="s">
        <v>228</v>
      </c>
      <c r="B24" s="111" t="s">
        <v>257</v>
      </c>
      <c r="C24" s="110" t="s">
        <v>363</v>
      </c>
      <c r="D24" s="110" t="s">
        <v>229</v>
      </c>
      <c r="E24" s="110" t="s">
        <v>364</v>
      </c>
      <c r="F24" s="110" t="s">
        <v>366</v>
      </c>
      <c r="G24" s="110" t="s">
        <v>365</v>
      </c>
      <c r="H24" s="110" t="s">
        <v>230</v>
      </c>
      <c r="I24" s="110" t="s">
        <v>367</v>
      </c>
      <c r="J24" s="110" t="s">
        <v>262</v>
      </c>
      <c r="K24" s="111" t="s">
        <v>256</v>
      </c>
      <c r="L24" s="111" t="s">
        <v>231</v>
      </c>
      <c r="M24" s="112" t="s">
        <v>276</v>
      </c>
      <c r="N24" s="111" t="s">
        <v>521</v>
      </c>
      <c r="O24" s="110" t="s">
        <v>273</v>
      </c>
      <c r="P24" s="110" t="s">
        <v>274</v>
      </c>
      <c r="Q24" s="110" t="s">
        <v>272</v>
      </c>
      <c r="R24" s="110" t="s">
        <v>230</v>
      </c>
      <c r="S24" s="110" t="s">
        <v>271</v>
      </c>
      <c r="T24" s="110" t="s">
        <v>270</v>
      </c>
      <c r="U24" s="110" t="s">
        <v>362</v>
      </c>
      <c r="V24" s="110" t="s">
        <v>272</v>
      </c>
      <c r="W24" s="119" t="s">
        <v>255</v>
      </c>
      <c r="X24" s="119" t="s">
        <v>287</v>
      </c>
      <c r="Y24" s="119" t="s">
        <v>288</v>
      </c>
      <c r="Z24" s="121" t="s">
        <v>285</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347</v>
      </c>
      <c r="B26" s="109"/>
      <c r="C26" s="105" t="s">
        <v>349</v>
      </c>
      <c r="D26" s="105" t="s">
        <v>350</v>
      </c>
      <c r="E26" s="105" t="s">
        <v>351</v>
      </c>
      <c r="F26" s="105" t="s">
        <v>267</v>
      </c>
      <c r="G26" s="105" t="s">
        <v>352</v>
      </c>
      <c r="H26" s="105" t="s">
        <v>230</v>
      </c>
      <c r="I26" s="105" t="s">
        <v>353</v>
      </c>
      <c r="J26" s="105" t="s">
        <v>354</v>
      </c>
      <c r="K26" s="102"/>
      <c r="L26" s="106" t="s">
        <v>253</v>
      </c>
      <c r="M26" s="108" t="s">
        <v>269</v>
      </c>
      <c r="N26" s="102"/>
      <c r="O26" s="102"/>
      <c r="P26" s="102"/>
      <c r="Q26" s="102"/>
      <c r="R26" s="102"/>
      <c r="S26" s="102"/>
      <c r="T26" s="102"/>
      <c r="U26" s="102"/>
      <c r="V26" s="102"/>
      <c r="W26" s="102"/>
      <c r="X26" s="102"/>
      <c r="Y26" s="102"/>
      <c r="Z26" s="104" t="s">
        <v>286</v>
      </c>
    </row>
    <row r="27" spans="1:28" x14ac:dyDescent="0.25">
      <c r="A27" s="102" t="s">
        <v>232</v>
      </c>
      <c r="B27" s="102" t="s">
        <v>258</v>
      </c>
      <c r="C27" s="102" t="s">
        <v>237</v>
      </c>
      <c r="D27" s="102" t="s">
        <v>238</v>
      </c>
      <c r="E27" s="102" t="s">
        <v>277</v>
      </c>
      <c r="F27" s="105" t="s">
        <v>233</v>
      </c>
      <c r="G27" s="105" t="s">
        <v>281</v>
      </c>
      <c r="H27" s="102" t="s">
        <v>230</v>
      </c>
      <c r="I27" s="105" t="s">
        <v>263</v>
      </c>
      <c r="J27" s="105" t="s">
        <v>245</v>
      </c>
      <c r="K27" s="106" t="s">
        <v>249</v>
      </c>
      <c r="L27" s="102"/>
      <c r="M27" s="106" t="s">
        <v>275</v>
      </c>
      <c r="N27" s="102"/>
      <c r="O27" s="102"/>
      <c r="P27" s="102"/>
      <c r="Q27" s="102"/>
      <c r="R27" s="102"/>
      <c r="S27" s="102"/>
      <c r="T27" s="102"/>
      <c r="U27" s="102"/>
      <c r="V27" s="102"/>
      <c r="W27" s="102"/>
      <c r="X27" s="102"/>
      <c r="Y27" s="102"/>
      <c r="Z27" s="102"/>
    </row>
    <row r="28" spans="1:28" x14ac:dyDescent="0.25">
      <c r="A28" s="102" t="s">
        <v>232</v>
      </c>
      <c r="B28" s="102" t="s">
        <v>259</v>
      </c>
      <c r="C28" s="102" t="s">
        <v>239</v>
      </c>
      <c r="D28" s="102" t="s">
        <v>240</v>
      </c>
      <c r="E28" s="102" t="s">
        <v>278</v>
      </c>
      <c r="F28" s="105" t="s">
        <v>234</v>
      </c>
      <c r="G28" s="105" t="s">
        <v>282</v>
      </c>
      <c r="H28" s="102" t="s">
        <v>230</v>
      </c>
      <c r="I28" s="105" t="s">
        <v>264</v>
      </c>
      <c r="J28" s="105" t="s">
        <v>246</v>
      </c>
      <c r="K28" s="106" t="s">
        <v>250</v>
      </c>
      <c r="L28" s="107"/>
      <c r="M28" s="106" t="s">
        <v>0</v>
      </c>
      <c r="N28" s="106"/>
      <c r="O28" s="106"/>
      <c r="P28" s="106"/>
      <c r="Q28" s="106"/>
      <c r="R28" s="106"/>
      <c r="S28" s="106"/>
      <c r="T28" s="106"/>
      <c r="U28" s="106"/>
      <c r="V28" s="106"/>
      <c r="W28" s="106"/>
      <c r="X28" s="106"/>
      <c r="Y28" s="106"/>
      <c r="Z28" s="106"/>
    </row>
    <row r="29" spans="1:28" x14ac:dyDescent="0.25">
      <c r="A29" s="102" t="s">
        <v>232</v>
      </c>
      <c r="B29" s="102" t="s">
        <v>260</v>
      </c>
      <c r="C29" s="102" t="s">
        <v>241</v>
      </c>
      <c r="D29" s="102" t="s">
        <v>242</v>
      </c>
      <c r="E29" s="102" t="s">
        <v>279</v>
      </c>
      <c r="F29" s="105" t="s">
        <v>235</v>
      </c>
      <c r="G29" s="105" t="s">
        <v>283</v>
      </c>
      <c r="H29" s="102" t="s">
        <v>230</v>
      </c>
      <c r="I29" s="105" t="s">
        <v>265</v>
      </c>
      <c r="J29" s="105" t="s">
        <v>247</v>
      </c>
      <c r="K29" s="106" t="s">
        <v>251</v>
      </c>
      <c r="L29" s="107"/>
      <c r="M29" s="102"/>
      <c r="N29" s="102"/>
      <c r="O29" s="102"/>
      <c r="P29" s="102"/>
      <c r="Q29" s="102"/>
      <c r="R29" s="102"/>
      <c r="S29" s="102"/>
      <c r="T29" s="102"/>
      <c r="U29" s="102"/>
      <c r="V29" s="102"/>
      <c r="W29" s="102"/>
      <c r="X29" s="102"/>
      <c r="Y29" s="102"/>
      <c r="Z29" s="102"/>
    </row>
    <row r="30" spans="1:28" x14ac:dyDescent="0.25">
      <c r="A30" s="102" t="s">
        <v>232</v>
      </c>
      <c r="B30" s="102" t="s">
        <v>261</v>
      </c>
      <c r="C30" s="102" t="s">
        <v>243</v>
      </c>
      <c r="D30" s="102" t="s">
        <v>244</v>
      </c>
      <c r="E30" s="102" t="s">
        <v>280</v>
      </c>
      <c r="F30" s="105" t="s">
        <v>236</v>
      </c>
      <c r="G30" s="105" t="s">
        <v>284</v>
      </c>
      <c r="H30" s="102" t="s">
        <v>230</v>
      </c>
      <c r="I30" s="105" t="s">
        <v>266</v>
      </c>
      <c r="J30" s="105" t="s">
        <v>248</v>
      </c>
      <c r="K30" s="106" t="s">
        <v>252</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348</v>
      </c>
      <c r="B32" s="109"/>
      <c r="C32" s="105" t="s">
        <v>355</v>
      </c>
      <c r="D32" s="105" t="s">
        <v>356</v>
      </c>
      <c r="E32" s="105" t="s">
        <v>357</v>
      </c>
      <c r="F32" s="105" t="s">
        <v>358</v>
      </c>
      <c r="G32" s="105" t="s">
        <v>359</v>
      </c>
      <c r="H32" s="105" t="s">
        <v>230</v>
      </c>
      <c r="I32" s="105" t="s">
        <v>360</v>
      </c>
      <c r="J32" s="105" t="s">
        <v>361</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42"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170"/>
      <c r="Q5" s="170"/>
      <c r="R5" s="170"/>
      <c r="S5" s="170"/>
      <c r="T5" s="170"/>
      <c r="U5" s="170"/>
      <c r="V5" s="170"/>
      <c r="W5" s="170"/>
      <c r="X5" s="170"/>
      <c r="Y5" s="170"/>
      <c r="Z5" s="170"/>
      <c r="AA5" s="170"/>
      <c r="AB5" s="170"/>
    </row>
    <row r="6" spans="1:28" s="11" customFormat="1" ht="18.75" x14ac:dyDescent="0.3">
      <c r="A6" s="16"/>
      <c r="B6" s="16"/>
      <c r="L6" s="14"/>
    </row>
    <row r="7" spans="1:28" s="11" customFormat="1" ht="18.75" x14ac:dyDescent="0.2">
      <c r="A7" s="399" t="s">
        <v>7</v>
      </c>
      <c r="B7" s="399"/>
      <c r="C7" s="399"/>
      <c r="D7" s="399"/>
      <c r="E7" s="399"/>
      <c r="F7" s="399"/>
      <c r="G7" s="399"/>
      <c r="H7" s="399"/>
      <c r="I7" s="399"/>
      <c r="J7" s="399"/>
      <c r="K7" s="399"/>
      <c r="L7" s="399"/>
      <c r="M7" s="399"/>
      <c r="N7" s="399"/>
      <c r="O7" s="399"/>
      <c r="P7" s="12"/>
      <c r="Q7" s="12"/>
      <c r="R7" s="12"/>
      <c r="S7" s="12"/>
      <c r="T7" s="12"/>
      <c r="U7" s="12"/>
      <c r="V7" s="12"/>
      <c r="W7" s="12"/>
      <c r="X7" s="12"/>
      <c r="Y7" s="12"/>
      <c r="Z7" s="12"/>
    </row>
    <row r="8" spans="1:28" s="11" customFormat="1" ht="18.75" x14ac:dyDescent="0.2">
      <c r="A8" s="399"/>
      <c r="B8" s="399"/>
      <c r="C8" s="399"/>
      <c r="D8" s="399"/>
      <c r="E8" s="399"/>
      <c r="F8" s="399"/>
      <c r="G8" s="399"/>
      <c r="H8" s="399"/>
      <c r="I8" s="399"/>
      <c r="J8" s="399"/>
      <c r="K8" s="399"/>
      <c r="L8" s="399"/>
      <c r="M8" s="399"/>
      <c r="N8" s="399"/>
      <c r="O8" s="399"/>
      <c r="P8" s="12"/>
      <c r="Q8" s="12"/>
      <c r="R8" s="12"/>
      <c r="S8" s="12"/>
      <c r="T8" s="12"/>
      <c r="U8" s="12"/>
      <c r="V8" s="12"/>
      <c r="W8" s="12"/>
      <c r="X8" s="12"/>
      <c r="Y8" s="12"/>
      <c r="Z8" s="12"/>
    </row>
    <row r="9" spans="1:28" s="11" customFormat="1" ht="18.75" x14ac:dyDescent="0.2">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c r="M9" s="403"/>
      <c r="N9" s="403"/>
      <c r="O9" s="403"/>
      <c r="P9" s="12"/>
      <c r="Q9" s="12"/>
      <c r="R9" s="12"/>
      <c r="S9" s="12"/>
      <c r="T9" s="12"/>
      <c r="U9" s="12"/>
      <c r="V9" s="12"/>
      <c r="W9" s="12"/>
      <c r="X9" s="12"/>
      <c r="Y9" s="12"/>
      <c r="Z9" s="12"/>
    </row>
    <row r="10" spans="1:28" s="11" customFormat="1" ht="18.75" x14ac:dyDescent="0.2">
      <c r="A10" s="396" t="s">
        <v>6</v>
      </c>
      <c r="B10" s="396"/>
      <c r="C10" s="396"/>
      <c r="D10" s="396"/>
      <c r="E10" s="396"/>
      <c r="F10" s="396"/>
      <c r="G10" s="396"/>
      <c r="H10" s="396"/>
      <c r="I10" s="396"/>
      <c r="J10" s="396"/>
      <c r="K10" s="396"/>
      <c r="L10" s="396"/>
      <c r="M10" s="396"/>
      <c r="N10" s="396"/>
      <c r="O10" s="396"/>
      <c r="P10" s="12"/>
      <c r="Q10" s="12"/>
      <c r="R10" s="12"/>
      <c r="S10" s="12"/>
      <c r="T10" s="12"/>
      <c r="U10" s="12"/>
      <c r="V10" s="12"/>
      <c r="W10" s="12"/>
      <c r="X10" s="12"/>
      <c r="Y10" s="12"/>
      <c r="Z10" s="12"/>
    </row>
    <row r="11" spans="1:28" s="11" customFormat="1" ht="18.75" x14ac:dyDescent="0.2">
      <c r="A11" s="399"/>
      <c r="B11" s="399"/>
      <c r="C11" s="399"/>
      <c r="D11" s="399"/>
      <c r="E11" s="399"/>
      <c r="F11" s="399"/>
      <c r="G11" s="399"/>
      <c r="H11" s="399"/>
      <c r="I11" s="399"/>
      <c r="J11" s="399"/>
      <c r="K11" s="399"/>
      <c r="L11" s="399"/>
      <c r="M11" s="399"/>
      <c r="N11" s="399"/>
      <c r="O11" s="399"/>
      <c r="P11" s="12"/>
      <c r="Q11" s="12"/>
      <c r="R11" s="12"/>
      <c r="S11" s="12"/>
      <c r="T11" s="12"/>
      <c r="U11" s="12"/>
      <c r="V11" s="12"/>
      <c r="W11" s="12"/>
      <c r="X11" s="12"/>
      <c r="Y11" s="12"/>
      <c r="Z11" s="12"/>
    </row>
    <row r="12" spans="1:28" s="11" customFormat="1" ht="18.75" x14ac:dyDescent="0.2">
      <c r="A12" s="403" t="str">
        <f>'1. паспорт местоположение'!A12:C12</f>
        <v>Н_16-0190</v>
      </c>
      <c r="B12" s="403"/>
      <c r="C12" s="403"/>
      <c r="D12" s="403"/>
      <c r="E12" s="403"/>
      <c r="F12" s="403"/>
      <c r="G12" s="403"/>
      <c r="H12" s="403"/>
      <c r="I12" s="403"/>
      <c r="J12" s="403"/>
      <c r="K12" s="403"/>
      <c r="L12" s="403"/>
      <c r="M12" s="403"/>
      <c r="N12" s="403"/>
      <c r="O12" s="403"/>
      <c r="P12" s="12"/>
      <c r="Q12" s="12"/>
      <c r="R12" s="12"/>
      <c r="S12" s="12"/>
      <c r="T12" s="12"/>
      <c r="U12" s="12"/>
      <c r="V12" s="12"/>
      <c r="W12" s="12"/>
      <c r="X12" s="12"/>
      <c r="Y12" s="12"/>
      <c r="Z12" s="12"/>
    </row>
    <row r="13" spans="1:28" s="11" customFormat="1" ht="18.75" x14ac:dyDescent="0.2">
      <c r="A13" s="396" t="s">
        <v>5</v>
      </c>
      <c r="B13" s="396"/>
      <c r="C13" s="396"/>
      <c r="D13" s="396"/>
      <c r="E13" s="396"/>
      <c r="F13" s="396"/>
      <c r="G13" s="396"/>
      <c r="H13" s="396"/>
      <c r="I13" s="396"/>
      <c r="J13" s="396"/>
      <c r="K13" s="396"/>
      <c r="L13" s="396"/>
      <c r="M13" s="396"/>
      <c r="N13" s="396"/>
      <c r="O13" s="396"/>
      <c r="P13" s="12"/>
      <c r="Q13" s="12"/>
      <c r="R13" s="12"/>
      <c r="S13" s="12"/>
      <c r="T13" s="12"/>
      <c r="U13" s="12"/>
      <c r="V13" s="12"/>
      <c r="W13" s="12"/>
      <c r="X13" s="12"/>
      <c r="Y13" s="12"/>
      <c r="Z13" s="12"/>
    </row>
    <row r="14" spans="1:28" s="8" customFormat="1" ht="15.75" customHeight="1" x14ac:dyDescent="0.2">
      <c r="A14" s="407"/>
      <c r="B14" s="407"/>
      <c r="C14" s="407"/>
      <c r="D14" s="407"/>
      <c r="E14" s="407"/>
      <c r="F14" s="407"/>
      <c r="G14" s="407"/>
      <c r="H14" s="407"/>
      <c r="I14" s="407"/>
      <c r="J14" s="407"/>
      <c r="K14" s="407"/>
      <c r="L14" s="407"/>
      <c r="M14" s="407"/>
      <c r="N14" s="407"/>
      <c r="O14" s="407"/>
      <c r="P14" s="9"/>
      <c r="Q14" s="9"/>
      <c r="R14" s="9"/>
      <c r="S14" s="9"/>
      <c r="T14" s="9"/>
      <c r="U14" s="9"/>
      <c r="V14" s="9"/>
      <c r="W14" s="9"/>
      <c r="X14" s="9"/>
      <c r="Y14" s="9"/>
      <c r="Z14" s="9"/>
    </row>
    <row r="15" spans="1:28" s="3" customFormat="1" ht="12" x14ac:dyDescent="0.2">
      <c r="A15"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03"/>
      <c r="C15" s="403"/>
      <c r="D15" s="403"/>
      <c r="E15" s="403"/>
      <c r="F15" s="403"/>
      <c r="G15" s="403"/>
      <c r="H15" s="403"/>
      <c r="I15" s="403"/>
      <c r="J15" s="403"/>
      <c r="K15" s="403"/>
      <c r="L15" s="403"/>
      <c r="M15" s="403"/>
      <c r="N15" s="403"/>
      <c r="O15" s="403"/>
      <c r="P15" s="7"/>
      <c r="Q15" s="7"/>
      <c r="R15" s="7"/>
      <c r="S15" s="7"/>
      <c r="T15" s="7"/>
      <c r="U15" s="7"/>
      <c r="V15" s="7"/>
      <c r="W15" s="7"/>
      <c r="X15" s="7"/>
      <c r="Y15" s="7"/>
      <c r="Z15" s="7"/>
    </row>
    <row r="16" spans="1:28" s="3" customFormat="1" ht="15" customHeight="1" x14ac:dyDescent="0.2">
      <c r="A16" s="396" t="s">
        <v>4</v>
      </c>
      <c r="B16" s="396"/>
      <c r="C16" s="396"/>
      <c r="D16" s="396"/>
      <c r="E16" s="396"/>
      <c r="F16" s="396"/>
      <c r="G16" s="396"/>
      <c r="H16" s="396"/>
      <c r="I16" s="396"/>
      <c r="J16" s="396"/>
      <c r="K16" s="396"/>
      <c r="L16" s="396"/>
      <c r="M16" s="396"/>
      <c r="N16" s="396"/>
      <c r="O16" s="396"/>
      <c r="P16" s="5"/>
      <c r="Q16" s="5"/>
      <c r="R16" s="5"/>
      <c r="S16" s="5"/>
      <c r="T16" s="5"/>
      <c r="U16" s="5"/>
      <c r="V16" s="5"/>
      <c r="W16" s="5"/>
      <c r="X16" s="5"/>
      <c r="Y16" s="5"/>
      <c r="Z16" s="5"/>
    </row>
    <row r="17" spans="1:26" s="3" customFormat="1" ht="15" customHeight="1" x14ac:dyDescent="0.2">
      <c r="A17" s="405"/>
      <c r="B17" s="405"/>
      <c r="C17" s="405"/>
      <c r="D17" s="405"/>
      <c r="E17" s="405"/>
      <c r="F17" s="405"/>
      <c r="G17" s="405"/>
      <c r="H17" s="405"/>
      <c r="I17" s="405"/>
      <c r="J17" s="405"/>
      <c r="K17" s="405"/>
      <c r="L17" s="405"/>
      <c r="M17" s="405"/>
      <c r="N17" s="405"/>
      <c r="O17" s="405"/>
      <c r="P17" s="4"/>
      <c r="Q17" s="4"/>
      <c r="R17" s="4"/>
      <c r="S17" s="4"/>
      <c r="T17" s="4"/>
      <c r="U17" s="4"/>
      <c r="V17" s="4"/>
      <c r="W17" s="4"/>
    </row>
    <row r="18" spans="1:26" s="3" customFormat="1" ht="91.5" customHeight="1" x14ac:dyDescent="0.2">
      <c r="A18" s="447" t="s">
        <v>487</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3" customFormat="1" ht="78" customHeight="1" x14ac:dyDescent="0.2">
      <c r="A19" s="443" t="s">
        <v>3</v>
      </c>
      <c r="B19" s="443" t="s">
        <v>82</v>
      </c>
      <c r="C19" s="443" t="s">
        <v>81</v>
      </c>
      <c r="D19" s="443" t="s">
        <v>73</v>
      </c>
      <c r="E19" s="444" t="s">
        <v>80</v>
      </c>
      <c r="F19" s="445"/>
      <c r="G19" s="445"/>
      <c r="H19" s="445"/>
      <c r="I19" s="446"/>
      <c r="J19" s="443" t="s">
        <v>79</v>
      </c>
      <c r="K19" s="443"/>
      <c r="L19" s="443"/>
      <c r="M19" s="443"/>
      <c r="N19" s="443"/>
      <c r="O19" s="443"/>
      <c r="P19" s="4"/>
      <c r="Q19" s="4"/>
      <c r="R19" s="4"/>
      <c r="S19" s="4"/>
      <c r="T19" s="4"/>
      <c r="U19" s="4"/>
      <c r="V19" s="4"/>
      <c r="W19" s="4"/>
    </row>
    <row r="20" spans="1:26" s="3" customFormat="1" ht="51" customHeight="1" x14ac:dyDescent="0.2">
      <c r="A20" s="443"/>
      <c r="B20" s="443"/>
      <c r="C20" s="443"/>
      <c r="D20" s="443"/>
      <c r="E20" s="365" t="s">
        <v>78</v>
      </c>
      <c r="F20" s="365" t="s">
        <v>77</v>
      </c>
      <c r="G20" s="365" t="s">
        <v>76</v>
      </c>
      <c r="H20" s="365" t="s">
        <v>75</v>
      </c>
      <c r="I20" s="365" t="s">
        <v>74</v>
      </c>
      <c r="J20" s="374">
        <v>2015</v>
      </c>
      <c r="K20" s="374">
        <v>2016</v>
      </c>
      <c r="L20" s="374">
        <v>2017</v>
      </c>
      <c r="M20" s="374">
        <v>2018</v>
      </c>
      <c r="N20" s="374">
        <v>2019</v>
      </c>
      <c r="O20" s="374">
        <v>2020</v>
      </c>
      <c r="P20" s="31"/>
      <c r="Q20" s="31"/>
      <c r="R20" s="31"/>
      <c r="S20" s="31"/>
      <c r="T20" s="31"/>
      <c r="U20" s="31"/>
      <c r="V20" s="31"/>
      <c r="W20" s="31"/>
      <c r="X20" s="30"/>
      <c r="Y20" s="30"/>
      <c r="Z20" s="30"/>
    </row>
    <row r="21" spans="1:26" s="3" customFormat="1" ht="16.5" customHeight="1" x14ac:dyDescent="0.2">
      <c r="A21" s="366">
        <v>1</v>
      </c>
      <c r="B21" s="367">
        <v>2</v>
      </c>
      <c r="C21" s="366">
        <v>3</v>
      </c>
      <c r="D21" s="367">
        <v>4</v>
      </c>
      <c r="E21" s="366">
        <v>5</v>
      </c>
      <c r="F21" s="367">
        <v>6</v>
      </c>
      <c r="G21" s="366">
        <v>7</v>
      </c>
      <c r="H21" s="367">
        <v>8</v>
      </c>
      <c r="I21" s="366">
        <v>9</v>
      </c>
      <c r="J21" s="367">
        <v>10</v>
      </c>
      <c r="K21" s="366">
        <v>11</v>
      </c>
      <c r="L21" s="367">
        <v>12</v>
      </c>
      <c r="M21" s="366">
        <v>13</v>
      </c>
      <c r="N21" s="367">
        <v>14</v>
      </c>
      <c r="O21" s="366">
        <v>15</v>
      </c>
      <c r="P21" s="31"/>
      <c r="Q21" s="31"/>
      <c r="R21" s="31"/>
      <c r="S21" s="31"/>
      <c r="T21" s="31"/>
      <c r="U21" s="31"/>
      <c r="V21" s="31"/>
      <c r="W21" s="31"/>
      <c r="X21" s="30"/>
      <c r="Y21" s="30"/>
      <c r="Z21" s="30"/>
    </row>
    <row r="22" spans="1:26" s="3" customFormat="1" ht="33" customHeight="1" x14ac:dyDescent="0.2">
      <c r="A22" s="368" t="s">
        <v>62</v>
      </c>
      <c r="B22" s="369" t="s">
        <v>778</v>
      </c>
      <c r="C22" s="370">
        <v>0</v>
      </c>
      <c r="D22" s="370">
        <v>0</v>
      </c>
      <c r="E22" s="370">
        <v>0</v>
      </c>
      <c r="F22" s="370">
        <v>0</v>
      </c>
      <c r="G22" s="370">
        <v>0</v>
      </c>
      <c r="H22" s="370">
        <v>0</v>
      </c>
      <c r="I22" s="370">
        <v>0</v>
      </c>
      <c r="J22" s="371">
        <v>0</v>
      </c>
      <c r="K22" s="371">
        <v>0</v>
      </c>
      <c r="L22" s="372">
        <v>0</v>
      </c>
      <c r="M22" s="372">
        <v>0</v>
      </c>
      <c r="N22" s="372">
        <v>0</v>
      </c>
      <c r="O22" s="372">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89"/>
  <sheetViews>
    <sheetView topLeftCell="A5" zoomScale="80" zoomScaleNormal="80" workbookViewId="0">
      <selection activeCell="C25" sqref="C25"/>
    </sheetView>
  </sheetViews>
  <sheetFormatPr defaultColWidth="9.140625" defaultRowHeight="15.75" x14ac:dyDescent="0.2"/>
  <cols>
    <col min="1" max="1" width="61.7109375" style="183" customWidth="1"/>
    <col min="2" max="2" width="18.5703125" style="178" customWidth="1"/>
    <col min="3" max="13" width="16.85546875" style="178" customWidth="1"/>
    <col min="14" max="33" width="16.85546875" style="178" hidden="1" customWidth="1"/>
    <col min="34" max="238" width="9.140625" style="179"/>
    <col min="239" max="239" width="61.7109375" style="179" customWidth="1"/>
    <col min="240" max="240" width="18.5703125" style="179" customWidth="1"/>
    <col min="241" max="280" width="16.85546875" style="179" customWidth="1"/>
    <col min="281" max="282" width="18.5703125" style="179" customWidth="1"/>
    <col min="283" max="283" width="21.7109375" style="179" customWidth="1"/>
    <col min="284" max="494" width="9.140625" style="179"/>
    <col min="495" max="495" width="61.7109375" style="179" customWidth="1"/>
    <col min="496" max="496" width="18.5703125" style="179" customWidth="1"/>
    <col min="497" max="536" width="16.85546875" style="179" customWidth="1"/>
    <col min="537" max="538" width="18.5703125" style="179" customWidth="1"/>
    <col min="539" max="539" width="21.7109375" style="179" customWidth="1"/>
    <col min="540" max="750" width="9.140625" style="179"/>
    <col min="751" max="751" width="61.7109375" style="179" customWidth="1"/>
    <col min="752" max="752" width="18.5703125" style="179" customWidth="1"/>
    <col min="753" max="792" width="16.85546875" style="179" customWidth="1"/>
    <col min="793" max="794" width="18.5703125" style="179" customWidth="1"/>
    <col min="795" max="795" width="21.7109375" style="179" customWidth="1"/>
    <col min="796" max="1006" width="9.140625" style="179"/>
    <col min="1007" max="1007" width="61.7109375" style="179" customWidth="1"/>
    <col min="1008" max="1008" width="18.5703125" style="179" customWidth="1"/>
    <col min="1009" max="1048" width="16.85546875" style="179" customWidth="1"/>
    <col min="1049" max="1050" width="18.5703125" style="179" customWidth="1"/>
    <col min="1051" max="1051" width="21.7109375" style="179" customWidth="1"/>
    <col min="1052" max="1262" width="9.140625" style="179"/>
    <col min="1263" max="1263" width="61.7109375" style="179" customWidth="1"/>
    <col min="1264" max="1264" width="18.5703125" style="179" customWidth="1"/>
    <col min="1265" max="1304" width="16.85546875" style="179" customWidth="1"/>
    <col min="1305" max="1306" width="18.5703125" style="179" customWidth="1"/>
    <col min="1307" max="1307" width="21.7109375" style="179" customWidth="1"/>
    <col min="1308" max="1518" width="9.140625" style="179"/>
    <col min="1519" max="1519" width="61.7109375" style="179" customWidth="1"/>
    <col min="1520" max="1520" width="18.5703125" style="179" customWidth="1"/>
    <col min="1521" max="1560" width="16.85546875" style="179" customWidth="1"/>
    <col min="1561" max="1562" width="18.5703125" style="179" customWidth="1"/>
    <col min="1563" max="1563" width="21.7109375" style="179" customWidth="1"/>
    <col min="1564" max="1774" width="9.140625" style="179"/>
    <col min="1775" max="1775" width="61.7109375" style="179" customWidth="1"/>
    <col min="1776" max="1776" width="18.5703125" style="179" customWidth="1"/>
    <col min="1777" max="1816" width="16.85546875" style="179" customWidth="1"/>
    <col min="1817" max="1818" width="18.5703125" style="179" customWidth="1"/>
    <col min="1819" max="1819" width="21.7109375" style="179" customWidth="1"/>
    <col min="1820" max="2030" width="9.140625" style="179"/>
    <col min="2031" max="2031" width="61.7109375" style="179" customWidth="1"/>
    <col min="2032" max="2032" width="18.5703125" style="179" customWidth="1"/>
    <col min="2033" max="2072" width="16.85546875" style="179" customWidth="1"/>
    <col min="2073" max="2074" width="18.5703125" style="179" customWidth="1"/>
    <col min="2075" max="2075" width="21.7109375" style="179" customWidth="1"/>
    <col min="2076" max="2286" width="9.140625" style="179"/>
    <col min="2287" max="2287" width="61.7109375" style="179" customWidth="1"/>
    <col min="2288" max="2288" width="18.5703125" style="179" customWidth="1"/>
    <col min="2289" max="2328" width="16.85546875" style="179" customWidth="1"/>
    <col min="2329" max="2330" width="18.5703125" style="179" customWidth="1"/>
    <col min="2331" max="2331" width="21.7109375" style="179" customWidth="1"/>
    <col min="2332" max="2542" width="9.140625" style="179"/>
    <col min="2543" max="2543" width="61.7109375" style="179" customWidth="1"/>
    <col min="2544" max="2544" width="18.5703125" style="179" customWidth="1"/>
    <col min="2545" max="2584" width="16.85546875" style="179" customWidth="1"/>
    <col min="2585" max="2586" width="18.5703125" style="179" customWidth="1"/>
    <col min="2587" max="2587" width="21.7109375" style="179" customWidth="1"/>
    <col min="2588" max="2798" width="9.140625" style="179"/>
    <col min="2799" max="2799" width="61.7109375" style="179" customWidth="1"/>
    <col min="2800" max="2800" width="18.5703125" style="179" customWidth="1"/>
    <col min="2801" max="2840" width="16.85546875" style="179" customWidth="1"/>
    <col min="2841" max="2842" width="18.5703125" style="179" customWidth="1"/>
    <col min="2843" max="2843" width="21.7109375" style="179" customWidth="1"/>
    <col min="2844" max="3054" width="9.140625" style="179"/>
    <col min="3055" max="3055" width="61.7109375" style="179" customWidth="1"/>
    <col min="3056" max="3056" width="18.5703125" style="179" customWidth="1"/>
    <col min="3057" max="3096" width="16.85546875" style="179" customWidth="1"/>
    <col min="3097" max="3098" width="18.5703125" style="179" customWidth="1"/>
    <col min="3099" max="3099" width="21.7109375" style="179" customWidth="1"/>
    <col min="3100" max="3310" width="9.140625" style="179"/>
    <col min="3311" max="3311" width="61.7109375" style="179" customWidth="1"/>
    <col min="3312" max="3312" width="18.5703125" style="179" customWidth="1"/>
    <col min="3313" max="3352" width="16.85546875" style="179" customWidth="1"/>
    <col min="3353" max="3354" width="18.5703125" style="179" customWidth="1"/>
    <col min="3355" max="3355" width="21.7109375" style="179" customWidth="1"/>
    <col min="3356" max="3566" width="9.140625" style="179"/>
    <col min="3567" max="3567" width="61.7109375" style="179" customWidth="1"/>
    <col min="3568" max="3568" width="18.5703125" style="179" customWidth="1"/>
    <col min="3569" max="3608" width="16.85546875" style="179" customWidth="1"/>
    <col min="3609" max="3610" width="18.5703125" style="179" customWidth="1"/>
    <col min="3611" max="3611" width="21.7109375" style="179" customWidth="1"/>
    <col min="3612" max="3822" width="9.140625" style="179"/>
    <col min="3823" max="3823" width="61.7109375" style="179" customWidth="1"/>
    <col min="3824" max="3824" width="18.5703125" style="179" customWidth="1"/>
    <col min="3825" max="3864" width="16.85546875" style="179" customWidth="1"/>
    <col min="3865" max="3866" width="18.5703125" style="179" customWidth="1"/>
    <col min="3867" max="3867" width="21.7109375" style="179" customWidth="1"/>
    <col min="3868" max="4078" width="9.140625" style="179"/>
    <col min="4079" max="4079" width="61.7109375" style="179" customWidth="1"/>
    <col min="4080" max="4080" width="18.5703125" style="179" customWidth="1"/>
    <col min="4081" max="4120" width="16.85546875" style="179" customWidth="1"/>
    <col min="4121" max="4122" width="18.5703125" style="179" customWidth="1"/>
    <col min="4123" max="4123" width="21.7109375" style="179" customWidth="1"/>
    <col min="4124" max="4334" width="9.140625" style="179"/>
    <col min="4335" max="4335" width="61.7109375" style="179" customWidth="1"/>
    <col min="4336" max="4336" width="18.5703125" style="179" customWidth="1"/>
    <col min="4337" max="4376" width="16.85546875" style="179" customWidth="1"/>
    <col min="4377" max="4378" width="18.5703125" style="179" customWidth="1"/>
    <col min="4379" max="4379" width="21.7109375" style="179" customWidth="1"/>
    <col min="4380" max="4590" width="9.140625" style="179"/>
    <col min="4591" max="4591" width="61.7109375" style="179" customWidth="1"/>
    <col min="4592" max="4592" width="18.5703125" style="179" customWidth="1"/>
    <col min="4593" max="4632" width="16.85546875" style="179" customWidth="1"/>
    <col min="4633" max="4634" width="18.5703125" style="179" customWidth="1"/>
    <col min="4635" max="4635" width="21.7109375" style="179" customWidth="1"/>
    <col min="4636" max="4846" width="9.140625" style="179"/>
    <col min="4847" max="4847" width="61.7109375" style="179" customWidth="1"/>
    <col min="4848" max="4848" width="18.5703125" style="179" customWidth="1"/>
    <col min="4849" max="4888" width="16.85546875" style="179" customWidth="1"/>
    <col min="4889" max="4890" width="18.5703125" style="179" customWidth="1"/>
    <col min="4891" max="4891" width="21.7109375" style="179" customWidth="1"/>
    <col min="4892" max="5102" width="9.140625" style="179"/>
    <col min="5103" max="5103" width="61.7109375" style="179" customWidth="1"/>
    <col min="5104" max="5104" width="18.5703125" style="179" customWidth="1"/>
    <col min="5105" max="5144" width="16.85546875" style="179" customWidth="1"/>
    <col min="5145" max="5146" width="18.5703125" style="179" customWidth="1"/>
    <col min="5147" max="5147" width="21.7109375" style="179" customWidth="1"/>
    <col min="5148" max="5358" width="9.140625" style="179"/>
    <col min="5359" max="5359" width="61.7109375" style="179" customWidth="1"/>
    <col min="5360" max="5360" width="18.5703125" style="179" customWidth="1"/>
    <col min="5361" max="5400" width="16.85546875" style="179" customWidth="1"/>
    <col min="5401" max="5402" width="18.5703125" style="179" customWidth="1"/>
    <col min="5403" max="5403" width="21.7109375" style="179" customWidth="1"/>
    <col min="5404" max="5614" width="9.140625" style="179"/>
    <col min="5615" max="5615" width="61.7109375" style="179" customWidth="1"/>
    <col min="5616" max="5616" width="18.5703125" style="179" customWidth="1"/>
    <col min="5617" max="5656" width="16.85546875" style="179" customWidth="1"/>
    <col min="5657" max="5658" width="18.5703125" style="179" customWidth="1"/>
    <col min="5659" max="5659" width="21.7109375" style="179" customWidth="1"/>
    <col min="5660" max="5870" width="9.140625" style="179"/>
    <col min="5871" max="5871" width="61.7109375" style="179" customWidth="1"/>
    <col min="5872" max="5872" width="18.5703125" style="179" customWidth="1"/>
    <col min="5873" max="5912" width="16.85546875" style="179" customWidth="1"/>
    <col min="5913" max="5914" width="18.5703125" style="179" customWidth="1"/>
    <col min="5915" max="5915" width="21.7109375" style="179" customWidth="1"/>
    <col min="5916" max="6126" width="9.140625" style="179"/>
    <col min="6127" max="6127" width="61.7109375" style="179" customWidth="1"/>
    <col min="6128" max="6128" width="18.5703125" style="179" customWidth="1"/>
    <col min="6129" max="6168" width="16.85546875" style="179" customWidth="1"/>
    <col min="6169" max="6170" width="18.5703125" style="179" customWidth="1"/>
    <col min="6171" max="6171" width="21.7109375" style="179" customWidth="1"/>
    <col min="6172" max="6382" width="9.140625" style="179"/>
    <col min="6383" max="6383" width="61.7109375" style="179" customWidth="1"/>
    <col min="6384" max="6384" width="18.5703125" style="179" customWidth="1"/>
    <col min="6385" max="6424" width="16.85546875" style="179" customWidth="1"/>
    <col min="6425" max="6426" width="18.5703125" style="179" customWidth="1"/>
    <col min="6427" max="6427" width="21.7109375" style="179" customWidth="1"/>
    <col min="6428" max="6638" width="9.140625" style="179"/>
    <col min="6639" max="6639" width="61.7109375" style="179" customWidth="1"/>
    <col min="6640" max="6640" width="18.5703125" style="179" customWidth="1"/>
    <col min="6641" max="6680" width="16.85546875" style="179" customWidth="1"/>
    <col min="6681" max="6682" width="18.5703125" style="179" customWidth="1"/>
    <col min="6683" max="6683" width="21.7109375" style="179" customWidth="1"/>
    <col min="6684" max="6894" width="9.140625" style="179"/>
    <col min="6895" max="6895" width="61.7109375" style="179" customWidth="1"/>
    <col min="6896" max="6896" width="18.5703125" style="179" customWidth="1"/>
    <col min="6897" max="6936" width="16.85546875" style="179" customWidth="1"/>
    <col min="6937" max="6938" width="18.5703125" style="179" customWidth="1"/>
    <col min="6939" max="6939" width="21.7109375" style="179" customWidth="1"/>
    <col min="6940" max="7150" width="9.140625" style="179"/>
    <col min="7151" max="7151" width="61.7109375" style="179" customWidth="1"/>
    <col min="7152" max="7152" width="18.5703125" style="179" customWidth="1"/>
    <col min="7153" max="7192" width="16.85546875" style="179" customWidth="1"/>
    <col min="7193" max="7194" width="18.5703125" style="179" customWidth="1"/>
    <col min="7195" max="7195" width="21.7109375" style="179" customWidth="1"/>
    <col min="7196" max="7406" width="9.140625" style="179"/>
    <col min="7407" max="7407" width="61.7109375" style="179" customWidth="1"/>
    <col min="7408" max="7408" width="18.5703125" style="179" customWidth="1"/>
    <col min="7409" max="7448" width="16.85546875" style="179" customWidth="1"/>
    <col min="7449" max="7450" width="18.5703125" style="179" customWidth="1"/>
    <col min="7451" max="7451" width="21.7109375" style="179" customWidth="1"/>
    <col min="7452" max="7662" width="9.140625" style="179"/>
    <col min="7663" max="7663" width="61.7109375" style="179" customWidth="1"/>
    <col min="7664" max="7664" width="18.5703125" style="179" customWidth="1"/>
    <col min="7665" max="7704" width="16.85546875" style="179" customWidth="1"/>
    <col min="7705" max="7706" width="18.5703125" style="179" customWidth="1"/>
    <col min="7707" max="7707" width="21.7109375" style="179" customWidth="1"/>
    <col min="7708" max="7918" width="9.140625" style="179"/>
    <col min="7919" max="7919" width="61.7109375" style="179" customWidth="1"/>
    <col min="7920" max="7920" width="18.5703125" style="179" customWidth="1"/>
    <col min="7921" max="7960" width="16.85546875" style="179" customWidth="1"/>
    <col min="7961" max="7962" width="18.5703125" style="179" customWidth="1"/>
    <col min="7963" max="7963" width="21.7109375" style="179" customWidth="1"/>
    <col min="7964" max="8174" width="9.140625" style="179"/>
    <col min="8175" max="8175" width="61.7109375" style="179" customWidth="1"/>
    <col min="8176" max="8176" width="18.5703125" style="179" customWidth="1"/>
    <col min="8177" max="8216" width="16.85546875" style="179" customWidth="1"/>
    <col min="8217" max="8218" width="18.5703125" style="179" customWidth="1"/>
    <col min="8219" max="8219" width="21.7109375" style="179" customWidth="1"/>
    <col min="8220" max="8430" width="9.140625" style="179"/>
    <col min="8431" max="8431" width="61.7109375" style="179" customWidth="1"/>
    <col min="8432" max="8432" width="18.5703125" style="179" customWidth="1"/>
    <col min="8433" max="8472" width="16.85546875" style="179" customWidth="1"/>
    <col min="8473" max="8474" width="18.5703125" style="179" customWidth="1"/>
    <col min="8475" max="8475" width="21.7109375" style="179" customWidth="1"/>
    <col min="8476" max="8686" width="9.140625" style="179"/>
    <col min="8687" max="8687" width="61.7109375" style="179" customWidth="1"/>
    <col min="8688" max="8688" width="18.5703125" style="179" customWidth="1"/>
    <col min="8689" max="8728" width="16.85546875" style="179" customWidth="1"/>
    <col min="8729" max="8730" width="18.5703125" style="179" customWidth="1"/>
    <col min="8731" max="8731" width="21.7109375" style="179" customWidth="1"/>
    <col min="8732" max="8942" width="9.140625" style="179"/>
    <col min="8943" max="8943" width="61.7109375" style="179" customWidth="1"/>
    <col min="8944" max="8944" width="18.5703125" style="179" customWidth="1"/>
    <col min="8945" max="8984" width="16.85546875" style="179" customWidth="1"/>
    <col min="8985" max="8986" width="18.5703125" style="179" customWidth="1"/>
    <col min="8987" max="8987" width="21.7109375" style="179" customWidth="1"/>
    <col min="8988" max="9198" width="9.140625" style="179"/>
    <col min="9199" max="9199" width="61.7109375" style="179" customWidth="1"/>
    <col min="9200" max="9200" width="18.5703125" style="179" customWidth="1"/>
    <col min="9201" max="9240" width="16.85546875" style="179" customWidth="1"/>
    <col min="9241" max="9242" width="18.5703125" style="179" customWidth="1"/>
    <col min="9243" max="9243" width="21.7109375" style="179" customWidth="1"/>
    <col min="9244" max="9454" width="9.140625" style="179"/>
    <col min="9455" max="9455" width="61.7109375" style="179" customWidth="1"/>
    <col min="9456" max="9456" width="18.5703125" style="179" customWidth="1"/>
    <col min="9457" max="9496" width="16.85546875" style="179" customWidth="1"/>
    <col min="9497" max="9498" width="18.5703125" style="179" customWidth="1"/>
    <col min="9499" max="9499" width="21.7109375" style="179" customWidth="1"/>
    <col min="9500" max="9710" width="9.140625" style="179"/>
    <col min="9711" max="9711" width="61.7109375" style="179" customWidth="1"/>
    <col min="9712" max="9712" width="18.5703125" style="179" customWidth="1"/>
    <col min="9713" max="9752" width="16.85546875" style="179" customWidth="1"/>
    <col min="9753" max="9754" width="18.5703125" style="179" customWidth="1"/>
    <col min="9755" max="9755" width="21.7109375" style="179" customWidth="1"/>
    <col min="9756" max="9966" width="9.140625" style="179"/>
    <col min="9967" max="9967" width="61.7109375" style="179" customWidth="1"/>
    <col min="9968" max="9968" width="18.5703125" style="179" customWidth="1"/>
    <col min="9969" max="10008" width="16.85546875" style="179" customWidth="1"/>
    <col min="10009" max="10010" width="18.5703125" style="179" customWidth="1"/>
    <col min="10011" max="10011" width="21.7109375" style="179" customWidth="1"/>
    <col min="10012" max="10222" width="9.140625" style="179"/>
    <col min="10223" max="10223" width="61.7109375" style="179" customWidth="1"/>
    <col min="10224" max="10224" width="18.5703125" style="179" customWidth="1"/>
    <col min="10225" max="10264" width="16.85546875" style="179" customWidth="1"/>
    <col min="10265" max="10266" width="18.5703125" style="179" customWidth="1"/>
    <col min="10267" max="10267" width="21.7109375" style="179" customWidth="1"/>
    <col min="10268" max="10478" width="9.140625" style="179"/>
    <col min="10479" max="10479" width="61.7109375" style="179" customWidth="1"/>
    <col min="10480" max="10480" width="18.5703125" style="179" customWidth="1"/>
    <col min="10481" max="10520" width="16.85546875" style="179" customWidth="1"/>
    <col min="10521" max="10522" width="18.5703125" style="179" customWidth="1"/>
    <col min="10523" max="10523" width="21.7109375" style="179" customWidth="1"/>
    <col min="10524" max="10734" width="9.140625" style="179"/>
    <col min="10735" max="10735" width="61.7109375" style="179" customWidth="1"/>
    <col min="10736" max="10736" width="18.5703125" style="179" customWidth="1"/>
    <col min="10737" max="10776" width="16.85546875" style="179" customWidth="1"/>
    <col min="10777" max="10778" width="18.5703125" style="179" customWidth="1"/>
    <col min="10779" max="10779" width="21.7109375" style="179" customWidth="1"/>
    <col min="10780" max="10990" width="9.140625" style="179"/>
    <col min="10991" max="10991" width="61.7109375" style="179" customWidth="1"/>
    <col min="10992" max="10992" width="18.5703125" style="179" customWidth="1"/>
    <col min="10993" max="11032" width="16.85546875" style="179" customWidth="1"/>
    <col min="11033" max="11034" width="18.5703125" style="179" customWidth="1"/>
    <col min="11035" max="11035" width="21.7109375" style="179" customWidth="1"/>
    <col min="11036" max="11246" width="9.140625" style="179"/>
    <col min="11247" max="11247" width="61.7109375" style="179" customWidth="1"/>
    <col min="11248" max="11248" width="18.5703125" style="179" customWidth="1"/>
    <col min="11249" max="11288" width="16.85546875" style="179" customWidth="1"/>
    <col min="11289" max="11290" width="18.5703125" style="179" customWidth="1"/>
    <col min="11291" max="11291" width="21.7109375" style="179" customWidth="1"/>
    <col min="11292" max="11502" width="9.140625" style="179"/>
    <col min="11503" max="11503" width="61.7109375" style="179" customWidth="1"/>
    <col min="11504" max="11504" width="18.5703125" style="179" customWidth="1"/>
    <col min="11505" max="11544" width="16.85546875" style="179" customWidth="1"/>
    <col min="11545" max="11546" width="18.5703125" style="179" customWidth="1"/>
    <col min="11547" max="11547" width="21.7109375" style="179" customWidth="1"/>
    <col min="11548" max="11758" width="9.140625" style="179"/>
    <col min="11759" max="11759" width="61.7109375" style="179" customWidth="1"/>
    <col min="11760" max="11760" width="18.5703125" style="179" customWidth="1"/>
    <col min="11761" max="11800" width="16.85546875" style="179" customWidth="1"/>
    <col min="11801" max="11802" width="18.5703125" style="179" customWidth="1"/>
    <col min="11803" max="11803" width="21.7109375" style="179" customWidth="1"/>
    <col min="11804" max="12014" width="9.140625" style="179"/>
    <col min="12015" max="12015" width="61.7109375" style="179" customWidth="1"/>
    <col min="12016" max="12016" width="18.5703125" style="179" customWidth="1"/>
    <col min="12017" max="12056" width="16.85546875" style="179" customWidth="1"/>
    <col min="12057" max="12058" width="18.5703125" style="179" customWidth="1"/>
    <col min="12059" max="12059" width="21.7109375" style="179" customWidth="1"/>
    <col min="12060" max="12270" width="9.140625" style="179"/>
    <col min="12271" max="12271" width="61.7109375" style="179" customWidth="1"/>
    <col min="12272" max="12272" width="18.5703125" style="179" customWidth="1"/>
    <col min="12273" max="12312" width="16.85546875" style="179" customWidth="1"/>
    <col min="12313" max="12314" width="18.5703125" style="179" customWidth="1"/>
    <col min="12315" max="12315" width="21.7109375" style="179" customWidth="1"/>
    <col min="12316" max="12526" width="9.140625" style="179"/>
    <col min="12527" max="12527" width="61.7109375" style="179" customWidth="1"/>
    <col min="12528" max="12528" width="18.5703125" style="179" customWidth="1"/>
    <col min="12529" max="12568" width="16.85546875" style="179" customWidth="1"/>
    <col min="12569" max="12570" width="18.5703125" style="179" customWidth="1"/>
    <col min="12571" max="12571" width="21.7109375" style="179" customWidth="1"/>
    <col min="12572" max="12782" width="9.140625" style="179"/>
    <col min="12783" max="12783" width="61.7109375" style="179" customWidth="1"/>
    <col min="12784" max="12784" width="18.5703125" style="179" customWidth="1"/>
    <col min="12785" max="12824" width="16.85546875" style="179" customWidth="1"/>
    <col min="12825" max="12826" width="18.5703125" style="179" customWidth="1"/>
    <col min="12827" max="12827" width="21.7109375" style="179" customWidth="1"/>
    <col min="12828" max="13038" width="9.140625" style="179"/>
    <col min="13039" max="13039" width="61.7109375" style="179" customWidth="1"/>
    <col min="13040" max="13040" width="18.5703125" style="179" customWidth="1"/>
    <col min="13041" max="13080" width="16.85546875" style="179" customWidth="1"/>
    <col min="13081" max="13082" width="18.5703125" style="179" customWidth="1"/>
    <col min="13083" max="13083" width="21.7109375" style="179" customWidth="1"/>
    <col min="13084" max="13294" width="9.140625" style="179"/>
    <col min="13295" max="13295" width="61.7109375" style="179" customWidth="1"/>
    <col min="13296" max="13296" width="18.5703125" style="179" customWidth="1"/>
    <col min="13297" max="13336" width="16.85546875" style="179" customWidth="1"/>
    <col min="13337" max="13338" width="18.5703125" style="179" customWidth="1"/>
    <col min="13339" max="13339" width="21.7109375" style="179" customWidth="1"/>
    <col min="13340" max="13550" width="9.140625" style="179"/>
    <col min="13551" max="13551" width="61.7109375" style="179" customWidth="1"/>
    <col min="13552" max="13552" width="18.5703125" style="179" customWidth="1"/>
    <col min="13553" max="13592" width="16.85546875" style="179" customWidth="1"/>
    <col min="13593" max="13594" width="18.5703125" style="179" customWidth="1"/>
    <col min="13595" max="13595" width="21.7109375" style="179" customWidth="1"/>
    <col min="13596" max="13806" width="9.140625" style="179"/>
    <col min="13807" max="13807" width="61.7109375" style="179" customWidth="1"/>
    <col min="13808" max="13808" width="18.5703125" style="179" customWidth="1"/>
    <col min="13809" max="13848" width="16.85546875" style="179" customWidth="1"/>
    <col min="13849" max="13850" width="18.5703125" style="179" customWidth="1"/>
    <col min="13851" max="13851" width="21.7109375" style="179" customWidth="1"/>
    <col min="13852" max="14062" width="9.140625" style="179"/>
    <col min="14063" max="14063" width="61.7109375" style="179" customWidth="1"/>
    <col min="14064" max="14064" width="18.5703125" style="179" customWidth="1"/>
    <col min="14065" max="14104" width="16.85546875" style="179" customWidth="1"/>
    <col min="14105" max="14106" width="18.5703125" style="179" customWidth="1"/>
    <col min="14107" max="14107" width="21.7109375" style="179" customWidth="1"/>
    <col min="14108" max="14318" width="9.140625" style="179"/>
    <col min="14319" max="14319" width="61.7109375" style="179" customWidth="1"/>
    <col min="14320" max="14320" width="18.5703125" style="179" customWidth="1"/>
    <col min="14321" max="14360" width="16.85546875" style="179" customWidth="1"/>
    <col min="14361" max="14362" width="18.5703125" style="179" customWidth="1"/>
    <col min="14363" max="14363" width="21.7109375" style="179" customWidth="1"/>
    <col min="14364" max="14574" width="9.140625" style="179"/>
    <col min="14575" max="14575" width="61.7109375" style="179" customWidth="1"/>
    <col min="14576" max="14576" width="18.5703125" style="179" customWidth="1"/>
    <col min="14577" max="14616" width="16.85546875" style="179" customWidth="1"/>
    <col min="14617" max="14618" width="18.5703125" style="179" customWidth="1"/>
    <col min="14619" max="14619" width="21.7109375" style="179" customWidth="1"/>
    <col min="14620" max="14830" width="9.140625" style="179"/>
    <col min="14831" max="14831" width="61.7109375" style="179" customWidth="1"/>
    <col min="14832" max="14832" width="18.5703125" style="179" customWidth="1"/>
    <col min="14833" max="14872" width="16.85546875" style="179" customWidth="1"/>
    <col min="14873" max="14874" width="18.5703125" style="179" customWidth="1"/>
    <col min="14875" max="14875" width="21.7109375" style="179" customWidth="1"/>
    <col min="14876" max="15086" width="9.140625" style="179"/>
    <col min="15087" max="15087" width="61.7109375" style="179" customWidth="1"/>
    <col min="15088" max="15088" width="18.5703125" style="179" customWidth="1"/>
    <col min="15089" max="15128" width="16.85546875" style="179" customWidth="1"/>
    <col min="15129" max="15130" width="18.5703125" style="179" customWidth="1"/>
    <col min="15131" max="15131" width="21.7109375" style="179" customWidth="1"/>
    <col min="15132" max="15342" width="9.140625" style="179"/>
    <col min="15343" max="15343" width="61.7109375" style="179" customWidth="1"/>
    <col min="15344" max="15344" width="18.5703125" style="179" customWidth="1"/>
    <col min="15345" max="15384" width="16.85546875" style="179" customWidth="1"/>
    <col min="15385" max="15386" width="18.5703125" style="179" customWidth="1"/>
    <col min="15387" max="15387" width="21.7109375" style="179" customWidth="1"/>
    <col min="15388" max="15598" width="9.140625" style="179"/>
    <col min="15599" max="15599" width="61.7109375" style="179" customWidth="1"/>
    <col min="15600" max="15600" width="18.5703125" style="179" customWidth="1"/>
    <col min="15601" max="15640" width="16.85546875" style="179" customWidth="1"/>
    <col min="15641" max="15642" width="18.5703125" style="179" customWidth="1"/>
    <col min="15643" max="15643" width="21.7109375" style="179" customWidth="1"/>
    <col min="15644" max="15854" width="9.140625" style="179"/>
    <col min="15855" max="15855" width="61.7109375" style="179" customWidth="1"/>
    <col min="15856" max="15856" width="18.5703125" style="179" customWidth="1"/>
    <col min="15857" max="15896" width="16.85546875" style="179" customWidth="1"/>
    <col min="15897" max="15898" width="18.5703125" style="179" customWidth="1"/>
    <col min="15899" max="15899" width="21.7109375" style="179" customWidth="1"/>
    <col min="15900" max="16110" width="9.140625" style="179"/>
    <col min="16111" max="16111" width="61.7109375" style="179" customWidth="1"/>
    <col min="16112" max="16112" width="18.5703125" style="179" customWidth="1"/>
    <col min="16113" max="16152" width="16.85546875" style="179" customWidth="1"/>
    <col min="16153" max="16154" width="18.5703125" style="179" customWidth="1"/>
    <col min="16155" max="16155" width="21.7109375" style="179" customWidth="1"/>
    <col min="16156" max="16384" width="9.140625" style="179"/>
  </cols>
  <sheetData>
    <row r="1" spans="1:33" ht="18.75" x14ac:dyDescent="0.2">
      <c r="A1" s="17"/>
      <c r="B1" s="11"/>
      <c r="C1" s="11"/>
      <c r="D1" s="11"/>
      <c r="G1" s="11"/>
      <c r="H1" s="42" t="s">
        <v>66</v>
      </c>
      <c r="I1" s="15"/>
      <c r="J1" s="15"/>
      <c r="K1" s="42"/>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79"/>
      <c r="F2" s="17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79"/>
      <c r="F3" s="179"/>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48" t="str">
        <f>'1. паспорт местоположение'!A5:C5</f>
        <v>Год раскрытия информации: 2020 год</v>
      </c>
      <c r="B5" s="448"/>
      <c r="C5" s="448"/>
      <c r="D5" s="448"/>
      <c r="E5" s="448"/>
      <c r="F5" s="448"/>
      <c r="G5" s="448"/>
      <c r="H5" s="448"/>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99" t="str">
        <f>'[3]1. паспорт местоположение'!A7:C7</f>
        <v xml:space="preserve">Паспорт инвестиционного проекта </v>
      </c>
      <c r="B7" s="399"/>
      <c r="C7" s="399"/>
      <c r="D7" s="399"/>
      <c r="E7" s="399"/>
      <c r="F7" s="399"/>
      <c r="G7" s="399"/>
      <c r="H7" s="399"/>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row>
    <row r="8" spans="1:33" ht="18.75" x14ac:dyDescent="0.2">
      <c r="A8" s="249"/>
      <c r="B8" s="249"/>
      <c r="C8" s="249"/>
      <c r="D8" s="249"/>
      <c r="E8" s="249"/>
      <c r="F8" s="249"/>
      <c r="G8" s="249"/>
      <c r="H8" s="249"/>
      <c r="I8" s="249"/>
      <c r="J8" s="249"/>
      <c r="K8" s="249"/>
      <c r="L8" s="160"/>
      <c r="M8" s="160"/>
      <c r="N8" s="160"/>
      <c r="O8" s="160"/>
      <c r="P8" s="160"/>
      <c r="Q8" s="160"/>
      <c r="R8" s="160"/>
      <c r="S8" s="160"/>
      <c r="T8" s="160"/>
      <c r="U8" s="160"/>
      <c r="V8" s="160"/>
      <c r="W8" s="160"/>
      <c r="X8" s="160"/>
      <c r="Y8" s="160"/>
      <c r="Z8" s="11"/>
      <c r="AA8" s="11"/>
      <c r="AB8" s="11"/>
      <c r="AC8" s="11"/>
      <c r="AD8" s="11"/>
      <c r="AE8" s="11"/>
      <c r="AF8" s="11"/>
      <c r="AG8" s="11"/>
    </row>
    <row r="9" spans="1:33" ht="18.75" x14ac:dyDescent="0.2">
      <c r="A9" s="398" t="str">
        <f>'1. паспорт местоположение'!A9:C9</f>
        <v>Акционерное общество "Янтарьэнерго" ДЗО  ПАО "Россети"</v>
      </c>
      <c r="B9" s="398"/>
      <c r="C9" s="398"/>
      <c r="D9" s="398"/>
      <c r="E9" s="398"/>
      <c r="F9" s="398"/>
      <c r="G9" s="398"/>
      <c r="H9" s="398"/>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row>
    <row r="10" spans="1:33" x14ac:dyDescent="0.2">
      <c r="A10" s="396" t="s">
        <v>6</v>
      </c>
      <c r="B10" s="396"/>
      <c r="C10" s="396"/>
      <c r="D10" s="396"/>
      <c r="E10" s="396"/>
      <c r="F10" s="396"/>
      <c r="G10" s="396"/>
      <c r="H10" s="396"/>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row>
    <row r="11" spans="1:33" ht="18.75" x14ac:dyDescent="0.2">
      <c r="A11" s="249"/>
      <c r="B11" s="249"/>
      <c r="C11" s="249"/>
      <c r="D11" s="249"/>
      <c r="E11" s="249"/>
      <c r="F11" s="249"/>
      <c r="G11" s="249"/>
      <c r="H11" s="249"/>
      <c r="I11" s="249"/>
      <c r="J11" s="249"/>
      <c r="K11" s="249"/>
      <c r="L11" s="160"/>
      <c r="M11" s="160"/>
      <c r="N11" s="160"/>
      <c r="O11" s="160"/>
      <c r="P11" s="160"/>
      <c r="Q11" s="160"/>
      <c r="R11" s="160"/>
      <c r="S11" s="160"/>
      <c r="T11" s="160"/>
      <c r="U11" s="160"/>
      <c r="V11" s="160"/>
      <c r="W11" s="160"/>
      <c r="X11" s="160"/>
      <c r="Y11" s="160"/>
      <c r="Z11" s="11"/>
      <c r="AA11" s="11"/>
      <c r="AB11" s="11"/>
      <c r="AC11" s="11"/>
      <c r="AD11" s="11"/>
      <c r="AE11" s="11"/>
      <c r="AF11" s="11"/>
      <c r="AG11" s="11"/>
    </row>
    <row r="12" spans="1:33" ht="18.75" x14ac:dyDescent="0.2">
      <c r="A12" s="398" t="str">
        <f>'1. паспорт местоположение'!A12:C12</f>
        <v>Н_16-0190</v>
      </c>
      <c r="B12" s="398"/>
      <c r="C12" s="398"/>
      <c r="D12" s="398"/>
      <c r="E12" s="398"/>
      <c r="F12" s="398"/>
      <c r="G12" s="398"/>
      <c r="H12" s="398"/>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row>
    <row r="13" spans="1:33" x14ac:dyDescent="0.2">
      <c r="A13" s="396" t="s">
        <v>5</v>
      </c>
      <c r="B13" s="396"/>
      <c r="C13" s="396"/>
      <c r="D13" s="396"/>
      <c r="E13" s="396"/>
      <c r="F13" s="396"/>
      <c r="G13" s="396"/>
      <c r="H13" s="396"/>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row>
    <row r="14" spans="1:33" ht="18.75"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8"/>
      <c r="AA14" s="8"/>
      <c r="AB14" s="8"/>
      <c r="AC14" s="8"/>
      <c r="AD14" s="8"/>
      <c r="AE14" s="8"/>
      <c r="AF14" s="8"/>
      <c r="AG14" s="8"/>
    </row>
    <row r="15" spans="1:33" ht="41.25" customHeight="1" x14ac:dyDescent="0.2">
      <c r="A15" s="451"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397"/>
      <c r="C15" s="397"/>
      <c r="D15" s="397"/>
      <c r="E15" s="397"/>
      <c r="F15" s="397"/>
      <c r="G15" s="397"/>
      <c r="H15" s="39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row>
    <row r="16" spans="1:33" x14ac:dyDescent="0.2">
      <c r="A16" s="396" t="s">
        <v>4</v>
      </c>
      <c r="B16" s="396"/>
      <c r="C16" s="396"/>
      <c r="D16" s="396"/>
      <c r="E16" s="396"/>
      <c r="F16" s="396"/>
      <c r="G16" s="396"/>
      <c r="H16" s="396"/>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row>
    <row r="17" spans="1:33"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3"/>
      <c r="X17" s="3"/>
      <c r="Y17" s="3"/>
      <c r="Z17" s="3"/>
      <c r="AA17" s="3"/>
      <c r="AB17" s="3"/>
      <c r="AC17" s="3"/>
      <c r="AD17" s="3"/>
      <c r="AE17" s="3"/>
      <c r="AF17" s="3"/>
      <c r="AG17" s="3"/>
    </row>
    <row r="18" spans="1:33" ht="18.75" x14ac:dyDescent="0.2">
      <c r="A18" s="398" t="s">
        <v>488</v>
      </c>
      <c r="B18" s="398"/>
      <c r="C18" s="398"/>
      <c r="D18" s="398"/>
      <c r="E18" s="398"/>
      <c r="F18" s="398"/>
      <c r="G18" s="398"/>
      <c r="H18" s="398"/>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81"/>
      <c r="Q19" s="182"/>
    </row>
    <row r="20" spans="1:33" x14ac:dyDescent="0.2">
      <c r="A20" s="181"/>
      <c r="Q20" s="182"/>
    </row>
    <row r="21" spans="1:33" x14ac:dyDescent="0.2">
      <c r="A21" s="181"/>
      <c r="Q21" s="182"/>
    </row>
    <row r="22" spans="1:33" x14ac:dyDescent="0.2">
      <c r="A22" s="181"/>
      <c r="Q22" s="182"/>
    </row>
    <row r="23" spans="1:33" x14ac:dyDescent="0.2">
      <c r="D23" s="184"/>
      <c r="Q23" s="182"/>
    </row>
    <row r="24" spans="1:33" ht="16.5" thickBot="1" x14ac:dyDescent="0.25">
      <c r="A24" s="185" t="s">
        <v>343</v>
      </c>
      <c r="B24" s="186" t="s">
        <v>1</v>
      </c>
      <c r="D24" s="187"/>
      <c r="E24" s="188"/>
      <c r="F24" s="188"/>
      <c r="G24" s="188"/>
      <c r="H24" s="188"/>
    </row>
    <row r="25" spans="1:33" x14ac:dyDescent="0.2">
      <c r="A25" s="189" t="s">
        <v>527</v>
      </c>
      <c r="B25" s="190">
        <f>'6.2. Паспорт фин осв ввод'!D30*1000000</f>
        <v>99177313.790000007</v>
      </c>
    </row>
    <row r="26" spans="1:33" x14ac:dyDescent="0.2">
      <c r="A26" s="191" t="s">
        <v>341</v>
      </c>
      <c r="B26" s="192">
        <v>0</v>
      </c>
    </row>
    <row r="27" spans="1:33" x14ac:dyDescent="0.2">
      <c r="A27" s="191" t="s">
        <v>339</v>
      </c>
      <c r="B27" s="192">
        <v>30</v>
      </c>
      <c r="D27" s="184" t="s">
        <v>342</v>
      </c>
    </row>
    <row r="28" spans="1:33" ht="16.149999999999999" customHeight="1" thickBot="1" x14ac:dyDescent="0.25">
      <c r="A28" s="193" t="s">
        <v>337</v>
      </c>
      <c r="B28" s="194">
        <v>1</v>
      </c>
      <c r="D28" s="452" t="s">
        <v>340</v>
      </c>
      <c r="E28" s="453"/>
      <c r="F28" s="454"/>
      <c r="G28" s="455">
        <f>IF(SUM(B89:L89)=0,"не окупается",SUM(B89:L89))</f>
        <v>4.0703930368826526</v>
      </c>
      <c r="H28" s="456"/>
    </row>
    <row r="29" spans="1:33" ht="15.6" customHeight="1" x14ac:dyDescent="0.2">
      <c r="A29" s="189" t="s">
        <v>335</v>
      </c>
      <c r="B29" s="190">
        <f>B25*0.1</f>
        <v>9917731.3790000007</v>
      </c>
      <c r="D29" s="452" t="s">
        <v>338</v>
      </c>
      <c r="E29" s="453"/>
      <c r="F29" s="454"/>
      <c r="G29" s="455">
        <f>IF(SUM(B90:L90)=0,"не окупается",SUM(B90:L90))</f>
        <v>4.1593223248754549</v>
      </c>
      <c r="H29" s="456"/>
    </row>
    <row r="30" spans="1:33" ht="27.6" customHeight="1" x14ac:dyDescent="0.2">
      <c r="A30" s="191" t="s">
        <v>528</v>
      </c>
      <c r="B30" s="192">
        <v>1</v>
      </c>
      <c r="D30" s="452" t="s">
        <v>336</v>
      </c>
      <c r="E30" s="453"/>
      <c r="F30" s="454"/>
      <c r="G30" s="457">
        <f>M87</f>
        <v>44057224.831145421</v>
      </c>
      <c r="H30" s="458"/>
    </row>
    <row r="31" spans="1:33" x14ac:dyDescent="0.2">
      <c r="A31" s="191" t="s">
        <v>334</v>
      </c>
      <c r="B31" s="192">
        <v>1</v>
      </c>
      <c r="D31" s="459"/>
      <c r="E31" s="460"/>
      <c r="F31" s="461"/>
      <c r="G31" s="459"/>
      <c r="H31" s="461"/>
    </row>
    <row r="32" spans="1:33" x14ac:dyDescent="0.2">
      <c r="A32" s="191" t="s">
        <v>312</v>
      </c>
      <c r="B32" s="192"/>
    </row>
    <row r="33" spans="1:33" x14ac:dyDescent="0.2">
      <c r="A33" s="191" t="s">
        <v>333</v>
      </c>
      <c r="B33" s="192"/>
    </row>
    <row r="34" spans="1:33" x14ac:dyDescent="0.2">
      <c r="A34" s="191" t="s">
        <v>332</v>
      </c>
      <c r="B34" s="192"/>
    </row>
    <row r="35" spans="1:33" x14ac:dyDescent="0.2">
      <c r="A35" s="195"/>
      <c r="B35" s="192"/>
    </row>
    <row r="36" spans="1:33" ht="16.5" thickBot="1" x14ac:dyDescent="0.25">
      <c r="A36" s="193" t="s">
        <v>304</v>
      </c>
      <c r="B36" s="196">
        <v>0.2</v>
      </c>
    </row>
    <row r="37" spans="1:33" x14ac:dyDescent="0.2">
      <c r="A37" s="189" t="s">
        <v>529</v>
      </c>
      <c r="B37" s="190">
        <v>0</v>
      </c>
    </row>
    <row r="38" spans="1:33" x14ac:dyDescent="0.2">
      <c r="A38" s="191" t="s">
        <v>331</v>
      </c>
      <c r="B38" s="192"/>
    </row>
    <row r="39" spans="1:33" ht="16.5" thickBot="1" x14ac:dyDescent="0.25">
      <c r="A39" s="197" t="s">
        <v>330</v>
      </c>
      <c r="B39" s="198"/>
    </row>
    <row r="40" spans="1:33" x14ac:dyDescent="0.2">
      <c r="A40" s="199" t="s">
        <v>530</v>
      </c>
      <c r="B40" s="200">
        <v>1</v>
      </c>
    </row>
    <row r="41" spans="1:33" x14ac:dyDescent="0.2">
      <c r="A41" s="201" t="s">
        <v>329</v>
      </c>
      <c r="B41" s="202"/>
    </row>
    <row r="42" spans="1:33" x14ac:dyDescent="0.2">
      <c r="A42" s="201" t="s">
        <v>328</v>
      </c>
      <c r="B42" s="203"/>
    </row>
    <row r="43" spans="1:33" x14ac:dyDescent="0.2">
      <c r="A43" s="201" t="s">
        <v>327</v>
      </c>
      <c r="B43" s="203">
        <v>0</v>
      </c>
    </row>
    <row r="44" spans="1:33" x14ac:dyDescent="0.2">
      <c r="A44" s="201" t="s">
        <v>326</v>
      </c>
      <c r="B44" s="203">
        <v>0.13</v>
      </c>
    </row>
    <row r="45" spans="1:33" x14ac:dyDescent="0.2">
      <c r="A45" s="201" t="s">
        <v>325</v>
      </c>
      <c r="B45" s="203">
        <f>1-B43</f>
        <v>1</v>
      </c>
    </row>
    <row r="46" spans="1:33" ht="16.5" thickBot="1" x14ac:dyDescent="0.25">
      <c r="A46" s="204" t="s">
        <v>324</v>
      </c>
      <c r="B46" s="205">
        <f>B45*B44+B43*B42*(1-B36)</f>
        <v>0.13</v>
      </c>
      <c r="C46" s="206"/>
    </row>
    <row r="47" spans="1:33" s="209" customFormat="1" x14ac:dyDescent="0.2">
      <c r="A47" s="207" t="s">
        <v>323</v>
      </c>
      <c r="B47" s="208">
        <f>B58</f>
        <v>1</v>
      </c>
      <c r="C47" s="208">
        <f t="shared" ref="C47:AG47" si="0">C58</f>
        <v>2</v>
      </c>
      <c r="D47" s="208">
        <f t="shared" si="0"/>
        <v>3</v>
      </c>
      <c r="E47" s="208">
        <f t="shared" si="0"/>
        <v>4</v>
      </c>
      <c r="F47" s="208">
        <f t="shared" si="0"/>
        <v>5</v>
      </c>
      <c r="G47" s="208">
        <f t="shared" si="0"/>
        <v>6</v>
      </c>
      <c r="H47" s="208">
        <f t="shared" si="0"/>
        <v>7</v>
      </c>
      <c r="I47" s="208">
        <f t="shared" si="0"/>
        <v>8</v>
      </c>
      <c r="J47" s="208">
        <f t="shared" si="0"/>
        <v>9</v>
      </c>
      <c r="K47" s="208">
        <f t="shared" si="0"/>
        <v>10</v>
      </c>
      <c r="L47" s="208">
        <f t="shared" si="0"/>
        <v>11</v>
      </c>
      <c r="M47" s="208">
        <f t="shared" si="0"/>
        <v>12</v>
      </c>
      <c r="N47" s="208">
        <f t="shared" si="0"/>
        <v>13</v>
      </c>
      <c r="O47" s="208">
        <f t="shared" si="0"/>
        <v>14</v>
      </c>
      <c r="P47" s="208">
        <f t="shared" si="0"/>
        <v>15</v>
      </c>
      <c r="Q47" s="208">
        <f t="shared" si="0"/>
        <v>16</v>
      </c>
      <c r="R47" s="208">
        <f t="shared" si="0"/>
        <v>17</v>
      </c>
      <c r="S47" s="208">
        <f t="shared" si="0"/>
        <v>18</v>
      </c>
      <c r="T47" s="208">
        <f t="shared" si="0"/>
        <v>19</v>
      </c>
      <c r="U47" s="208">
        <f t="shared" si="0"/>
        <v>20</v>
      </c>
      <c r="V47" s="208">
        <f t="shared" si="0"/>
        <v>21</v>
      </c>
      <c r="W47" s="208">
        <f t="shared" si="0"/>
        <v>22</v>
      </c>
      <c r="X47" s="208">
        <f t="shared" si="0"/>
        <v>23</v>
      </c>
      <c r="Y47" s="208">
        <f t="shared" si="0"/>
        <v>24</v>
      </c>
      <c r="Z47" s="208">
        <f t="shared" si="0"/>
        <v>25</v>
      </c>
      <c r="AA47" s="208">
        <f t="shared" si="0"/>
        <v>26</v>
      </c>
      <c r="AB47" s="208">
        <f t="shared" si="0"/>
        <v>27</v>
      </c>
      <c r="AC47" s="208">
        <f t="shared" si="0"/>
        <v>28</v>
      </c>
      <c r="AD47" s="208">
        <f t="shared" si="0"/>
        <v>29</v>
      </c>
      <c r="AE47" s="208">
        <f t="shared" si="0"/>
        <v>30</v>
      </c>
      <c r="AF47" s="208">
        <f t="shared" si="0"/>
        <v>31</v>
      </c>
      <c r="AG47" s="208">
        <f t="shared" si="0"/>
        <v>32</v>
      </c>
    </row>
    <row r="48" spans="1:33" s="209" customFormat="1" x14ac:dyDescent="0.2">
      <c r="A48" s="210" t="s">
        <v>322</v>
      </c>
      <c r="B48" s="254">
        <f t="shared" ref="B48:AG48" si="1">B117</f>
        <v>0</v>
      </c>
      <c r="C48" s="254">
        <f t="shared" si="1"/>
        <v>0</v>
      </c>
      <c r="D48" s="254">
        <f t="shared" si="1"/>
        <v>0</v>
      </c>
      <c r="E48" s="254">
        <f t="shared" si="1"/>
        <v>0.05</v>
      </c>
      <c r="F48" s="254">
        <f t="shared" si="1"/>
        <v>4.3999999999999997E-2</v>
      </c>
      <c r="G48" s="254">
        <f t="shared" si="1"/>
        <v>4.2000000000000003E-2</v>
      </c>
      <c r="H48" s="254">
        <f t="shared" si="1"/>
        <v>4.2999999999999997E-2</v>
      </c>
      <c r="I48" s="254">
        <f t="shared" si="1"/>
        <v>4.3999999999999997E-2</v>
      </c>
      <c r="J48" s="254">
        <f t="shared" si="1"/>
        <v>4.3999999999999997E-2</v>
      </c>
      <c r="K48" s="254">
        <f t="shared" si="1"/>
        <v>4.2999999999999997E-2</v>
      </c>
      <c r="L48" s="254">
        <f t="shared" si="1"/>
        <v>4.2000000000000003E-2</v>
      </c>
      <c r="M48" s="254">
        <f t="shared" si="1"/>
        <v>4.1000000000000002E-2</v>
      </c>
      <c r="N48" s="254">
        <f t="shared" si="1"/>
        <v>0.04</v>
      </c>
      <c r="O48" s="254">
        <f t="shared" si="1"/>
        <v>0.04</v>
      </c>
      <c r="P48" s="254">
        <f t="shared" si="1"/>
        <v>0.04</v>
      </c>
      <c r="Q48" s="254">
        <f t="shared" si="1"/>
        <v>0.04</v>
      </c>
      <c r="R48" s="254">
        <f t="shared" si="1"/>
        <v>0.04</v>
      </c>
      <c r="S48" s="254">
        <f t="shared" si="1"/>
        <v>0.04</v>
      </c>
      <c r="T48" s="254">
        <f t="shared" si="1"/>
        <v>0.04</v>
      </c>
      <c r="U48" s="254">
        <f t="shared" si="1"/>
        <v>0.04</v>
      </c>
      <c r="V48" s="254">
        <f t="shared" si="1"/>
        <v>0.04</v>
      </c>
      <c r="W48" s="254">
        <f t="shared" si="1"/>
        <v>0.04</v>
      </c>
      <c r="X48" s="254">
        <f t="shared" si="1"/>
        <v>0.04</v>
      </c>
      <c r="Y48" s="254">
        <f t="shared" si="1"/>
        <v>0.04</v>
      </c>
      <c r="Z48" s="254">
        <f t="shared" si="1"/>
        <v>0.04</v>
      </c>
      <c r="AA48" s="254">
        <f t="shared" si="1"/>
        <v>0.04</v>
      </c>
      <c r="AB48" s="254">
        <f t="shared" si="1"/>
        <v>0.04</v>
      </c>
      <c r="AC48" s="254">
        <f t="shared" si="1"/>
        <v>0.04</v>
      </c>
      <c r="AD48" s="254">
        <f t="shared" si="1"/>
        <v>0.04</v>
      </c>
      <c r="AE48" s="254">
        <f t="shared" si="1"/>
        <v>0.04</v>
      </c>
      <c r="AF48" s="254">
        <f t="shared" si="1"/>
        <v>0.04</v>
      </c>
      <c r="AG48" s="254">
        <f t="shared" si="1"/>
        <v>0.04</v>
      </c>
    </row>
    <row r="49" spans="1:33" s="209" customFormat="1" x14ac:dyDescent="0.2">
      <c r="A49" s="210" t="s">
        <v>321</v>
      </c>
      <c r="B49" s="254">
        <f t="shared" ref="B49:AG49" si="2">B118</f>
        <v>0</v>
      </c>
      <c r="C49" s="254">
        <f t="shared" si="2"/>
        <v>0</v>
      </c>
      <c r="D49" s="254">
        <f t="shared" si="2"/>
        <v>0</v>
      </c>
      <c r="E49" s="254">
        <f t="shared" si="2"/>
        <v>5.0000000000000044E-2</v>
      </c>
      <c r="F49" s="254">
        <f t="shared" si="2"/>
        <v>9.6200000000000063E-2</v>
      </c>
      <c r="G49" s="254">
        <f t="shared" si="2"/>
        <v>0.14224040000000016</v>
      </c>
      <c r="H49" s="254">
        <f t="shared" si="2"/>
        <v>0.19135673720000002</v>
      </c>
      <c r="I49" s="254">
        <f t="shared" si="2"/>
        <v>0.24377643363680002</v>
      </c>
      <c r="J49" s="254">
        <f t="shared" si="2"/>
        <v>0.29850259671681934</v>
      </c>
      <c r="K49" s="254">
        <f t="shared" si="2"/>
        <v>0.35433820837564256</v>
      </c>
      <c r="L49" s="254">
        <f t="shared" si="2"/>
        <v>0.41122041312741953</v>
      </c>
      <c r="M49" s="254">
        <f t="shared" si="2"/>
        <v>0.46908045006564358</v>
      </c>
      <c r="N49" s="254">
        <f t="shared" si="2"/>
        <v>0.52784366806826943</v>
      </c>
      <c r="O49" s="254">
        <f t="shared" si="2"/>
        <v>0.58895741479100017</v>
      </c>
      <c r="P49" s="254">
        <f t="shared" si="2"/>
        <v>0.65251571138264031</v>
      </c>
      <c r="Q49" s="254">
        <f t="shared" si="2"/>
        <v>0.71861633983794593</v>
      </c>
      <c r="R49" s="254">
        <f t="shared" si="2"/>
        <v>0.78736099343146382</v>
      </c>
      <c r="S49" s="254">
        <f t="shared" si="2"/>
        <v>0.85885543316872237</v>
      </c>
      <c r="T49" s="254">
        <f t="shared" si="2"/>
        <v>0.93320965049547122</v>
      </c>
      <c r="U49" s="254">
        <f t="shared" si="2"/>
        <v>1.0105380365152903</v>
      </c>
      <c r="V49" s="254">
        <f t="shared" si="2"/>
        <v>1.0909595579759022</v>
      </c>
      <c r="W49" s="254">
        <f t="shared" si="2"/>
        <v>1.1745979402949382</v>
      </c>
      <c r="X49" s="254">
        <f t="shared" si="2"/>
        <v>1.2615818579067359</v>
      </c>
      <c r="Y49" s="254">
        <f t="shared" si="2"/>
        <v>1.3520451322230054</v>
      </c>
      <c r="Z49" s="254">
        <f t="shared" si="2"/>
        <v>1.4461269375119259</v>
      </c>
      <c r="AA49" s="254">
        <f t="shared" si="2"/>
        <v>1.543972015012403</v>
      </c>
      <c r="AB49" s="254">
        <f t="shared" si="2"/>
        <v>1.6457308956128993</v>
      </c>
      <c r="AC49" s="254">
        <f t="shared" si="2"/>
        <v>1.7515601314374152</v>
      </c>
      <c r="AD49" s="254">
        <f t="shared" si="2"/>
        <v>1.8616225366949117</v>
      </c>
      <c r="AE49" s="254">
        <f t="shared" si="2"/>
        <v>1.9760874381627085</v>
      </c>
      <c r="AF49" s="254">
        <f t="shared" si="2"/>
        <v>2.0951309356892169</v>
      </c>
      <c r="AG49" s="254">
        <f t="shared" si="2"/>
        <v>2.2189361731167856</v>
      </c>
    </row>
    <row r="50" spans="1:33" s="209" customFormat="1" ht="16.5" thickBot="1" x14ac:dyDescent="0.25">
      <c r="A50" s="211" t="s">
        <v>531</v>
      </c>
      <c r="B50" s="212">
        <f>60575783.17+49982059.36</f>
        <v>110557842.53</v>
      </c>
      <c r="C50" s="212">
        <f>6730642.57+5553562.14+C100*(1+C49)</f>
        <v>18026809.812651999</v>
      </c>
      <c r="D50" s="212">
        <f>D100*(1+D49)</f>
        <v>11790418.498848001</v>
      </c>
      <c r="E50" s="212">
        <f>E100*(1+E49)</f>
        <v>20325406.512600005</v>
      </c>
      <c r="F50" s="212">
        <f>F100*(1+F49)</f>
        <v>21219724.399154402</v>
      </c>
      <c r="G50" s="212">
        <f t="shared" ref="G50:AG50" si="3">G100*(1+G49)</f>
        <v>22110952.82391889</v>
      </c>
      <c r="H50" s="212">
        <f t="shared" si="3"/>
        <v>23061723.7953474</v>
      </c>
      <c r="I50" s="212">
        <f t="shared" si="3"/>
        <v>24076439.642342687</v>
      </c>
      <c r="J50" s="212">
        <f t="shared" si="3"/>
        <v>25135802.986605767</v>
      </c>
      <c r="K50" s="212">
        <f t="shared" si="3"/>
        <v>26216642.515029814</v>
      </c>
      <c r="L50" s="212">
        <f t="shared" si="3"/>
        <v>27317741.500661064</v>
      </c>
      <c r="M50" s="212">
        <f t="shared" si="3"/>
        <v>28437768.902188167</v>
      </c>
      <c r="N50" s="212">
        <f t="shared" si="3"/>
        <v>29575279.658275694</v>
      </c>
      <c r="O50" s="212">
        <f t="shared" si="3"/>
        <v>30758290.84460672</v>
      </c>
      <c r="P50" s="212">
        <f t="shared" si="3"/>
        <v>31988622.478390992</v>
      </c>
      <c r="Q50" s="212">
        <f t="shared" si="3"/>
        <v>33268167.377526633</v>
      </c>
      <c r="R50" s="212">
        <f t="shared" si="3"/>
        <v>34598894.072627701</v>
      </c>
      <c r="S50" s="212">
        <f t="shared" si="3"/>
        <v>35982849.835532807</v>
      </c>
      <c r="T50" s="212">
        <f t="shared" si="3"/>
        <v>37422163.828954116</v>
      </c>
      <c r="U50" s="212">
        <f t="shared" si="3"/>
        <v>38919050.382112287</v>
      </c>
      <c r="V50" s="212">
        <f t="shared" si="3"/>
        <v>40475812.397396781</v>
      </c>
      <c r="W50" s="212">
        <f t="shared" si="3"/>
        <v>42094844.893292658</v>
      </c>
      <c r="X50" s="212">
        <f t="shared" si="3"/>
        <v>43778638.689024366</v>
      </c>
      <c r="Y50" s="212">
        <f t="shared" si="3"/>
        <v>45529784.236585341</v>
      </c>
      <c r="Z50" s="212">
        <f t="shared" si="3"/>
        <v>47350975.606048755</v>
      </c>
      <c r="AA50" s="212">
        <f t="shared" si="3"/>
        <v>49245014.630290709</v>
      </c>
      <c r="AB50" s="212">
        <f t="shared" si="3"/>
        <v>51214815.215502344</v>
      </c>
      <c r="AC50" s="212">
        <f t="shared" si="3"/>
        <v>53263407.824122436</v>
      </c>
      <c r="AD50" s="212">
        <f t="shared" si="3"/>
        <v>55393944.13708733</v>
      </c>
      <c r="AE50" s="212">
        <f t="shared" si="3"/>
        <v>57609701.902570829</v>
      </c>
      <c r="AF50" s="212">
        <f t="shared" si="3"/>
        <v>59914089.978673667</v>
      </c>
      <c r="AG50" s="212">
        <f t="shared" si="3"/>
        <v>62310653.577820614</v>
      </c>
    </row>
    <row r="51" spans="1:33" ht="16.5" thickBot="1" x14ac:dyDescent="0.25"/>
    <row r="52" spans="1:33" x14ac:dyDescent="0.2">
      <c r="A52" s="213" t="s">
        <v>320</v>
      </c>
      <c r="B52" s="214">
        <f>B58</f>
        <v>1</v>
      </c>
      <c r="C52" s="214">
        <f t="shared" ref="C52:AG52" si="4">C58</f>
        <v>2</v>
      </c>
      <c r="D52" s="214">
        <f t="shared" si="4"/>
        <v>3</v>
      </c>
      <c r="E52" s="214">
        <f t="shared" si="4"/>
        <v>4</v>
      </c>
      <c r="F52" s="214">
        <f t="shared" si="4"/>
        <v>5</v>
      </c>
      <c r="G52" s="214">
        <f t="shared" si="4"/>
        <v>6</v>
      </c>
      <c r="H52" s="214">
        <f t="shared" si="4"/>
        <v>7</v>
      </c>
      <c r="I52" s="214">
        <f t="shared" si="4"/>
        <v>8</v>
      </c>
      <c r="J52" s="214">
        <f t="shared" si="4"/>
        <v>9</v>
      </c>
      <c r="K52" s="214">
        <f t="shared" si="4"/>
        <v>10</v>
      </c>
      <c r="L52" s="214">
        <f t="shared" si="4"/>
        <v>11</v>
      </c>
      <c r="M52" s="214">
        <f t="shared" si="4"/>
        <v>12</v>
      </c>
      <c r="N52" s="214">
        <f t="shared" si="4"/>
        <v>13</v>
      </c>
      <c r="O52" s="214">
        <f t="shared" si="4"/>
        <v>14</v>
      </c>
      <c r="P52" s="214">
        <f t="shared" si="4"/>
        <v>15</v>
      </c>
      <c r="Q52" s="214">
        <f t="shared" si="4"/>
        <v>16</v>
      </c>
      <c r="R52" s="214">
        <f t="shared" si="4"/>
        <v>17</v>
      </c>
      <c r="S52" s="214">
        <f t="shared" si="4"/>
        <v>18</v>
      </c>
      <c r="T52" s="214">
        <f t="shared" si="4"/>
        <v>19</v>
      </c>
      <c r="U52" s="214">
        <f t="shared" si="4"/>
        <v>20</v>
      </c>
      <c r="V52" s="214">
        <f t="shared" si="4"/>
        <v>21</v>
      </c>
      <c r="W52" s="214">
        <f t="shared" si="4"/>
        <v>22</v>
      </c>
      <c r="X52" s="214">
        <f t="shared" si="4"/>
        <v>23</v>
      </c>
      <c r="Y52" s="214">
        <f t="shared" si="4"/>
        <v>24</v>
      </c>
      <c r="Z52" s="214">
        <f t="shared" si="4"/>
        <v>25</v>
      </c>
      <c r="AA52" s="214">
        <f t="shared" si="4"/>
        <v>26</v>
      </c>
      <c r="AB52" s="214">
        <f t="shared" si="4"/>
        <v>27</v>
      </c>
      <c r="AC52" s="214">
        <f t="shared" si="4"/>
        <v>28</v>
      </c>
      <c r="AD52" s="214">
        <f t="shared" si="4"/>
        <v>29</v>
      </c>
      <c r="AE52" s="214">
        <f t="shared" si="4"/>
        <v>30</v>
      </c>
      <c r="AF52" s="214">
        <f t="shared" si="4"/>
        <v>31</v>
      </c>
      <c r="AG52" s="214">
        <f t="shared" si="4"/>
        <v>32</v>
      </c>
    </row>
    <row r="53" spans="1:33" x14ac:dyDescent="0.2">
      <c r="A53" s="215" t="s">
        <v>319</v>
      </c>
      <c r="B53" s="255">
        <v>0</v>
      </c>
      <c r="C53" s="255">
        <f t="shared" ref="C53:AG53" si="5">B53+B54-B55</f>
        <v>0</v>
      </c>
      <c r="D53" s="255">
        <f t="shared" si="5"/>
        <v>0</v>
      </c>
      <c r="E53" s="255">
        <f t="shared" si="5"/>
        <v>0</v>
      </c>
      <c r="F53" s="255">
        <f t="shared" si="5"/>
        <v>0</v>
      </c>
      <c r="G53" s="255">
        <f t="shared" si="5"/>
        <v>0</v>
      </c>
      <c r="H53" s="255">
        <f t="shared" si="5"/>
        <v>0</v>
      </c>
      <c r="I53" s="255">
        <f t="shared" si="5"/>
        <v>0</v>
      </c>
      <c r="J53" s="255">
        <f t="shared" si="5"/>
        <v>0</v>
      </c>
      <c r="K53" s="255">
        <f t="shared" si="5"/>
        <v>0</v>
      </c>
      <c r="L53" s="255">
        <f t="shared" si="5"/>
        <v>0</v>
      </c>
      <c r="M53" s="255">
        <f t="shared" si="5"/>
        <v>0</v>
      </c>
      <c r="N53" s="255">
        <f t="shared" si="5"/>
        <v>0</v>
      </c>
      <c r="O53" s="255">
        <f t="shared" si="5"/>
        <v>0</v>
      </c>
      <c r="P53" s="255">
        <f t="shared" si="5"/>
        <v>0</v>
      </c>
      <c r="Q53" s="255">
        <f t="shared" si="5"/>
        <v>0</v>
      </c>
      <c r="R53" s="255">
        <f t="shared" si="5"/>
        <v>0</v>
      </c>
      <c r="S53" s="255">
        <f t="shared" si="5"/>
        <v>0</v>
      </c>
      <c r="T53" s="255">
        <f t="shared" si="5"/>
        <v>0</v>
      </c>
      <c r="U53" s="255">
        <f t="shared" si="5"/>
        <v>0</v>
      </c>
      <c r="V53" s="255">
        <f t="shared" si="5"/>
        <v>0</v>
      </c>
      <c r="W53" s="255">
        <f t="shared" si="5"/>
        <v>0</v>
      </c>
      <c r="X53" s="255">
        <f t="shared" si="5"/>
        <v>0</v>
      </c>
      <c r="Y53" s="255">
        <f t="shared" si="5"/>
        <v>0</v>
      </c>
      <c r="Z53" s="255">
        <f t="shared" si="5"/>
        <v>0</v>
      </c>
      <c r="AA53" s="255">
        <f t="shared" si="5"/>
        <v>0</v>
      </c>
      <c r="AB53" s="255">
        <f t="shared" si="5"/>
        <v>0</v>
      </c>
      <c r="AC53" s="255">
        <f t="shared" si="5"/>
        <v>0</v>
      </c>
      <c r="AD53" s="255">
        <f t="shared" si="5"/>
        <v>0</v>
      </c>
      <c r="AE53" s="255">
        <f t="shared" si="5"/>
        <v>0</v>
      </c>
      <c r="AF53" s="255">
        <f t="shared" si="5"/>
        <v>0</v>
      </c>
      <c r="AG53" s="255">
        <f t="shared" si="5"/>
        <v>0</v>
      </c>
    </row>
    <row r="54" spans="1:33" x14ac:dyDescent="0.2">
      <c r="A54" s="215" t="s">
        <v>318</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row>
    <row r="55" spans="1:33" x14ac:dyDescent="0.2">
      <c r="A55" s="215" t="s">
        <v>317</v>
      </c>
      <c r="B55" s="255">
        <f>$B$54/$B$40</f>
        <v>0</v>
      </c>
      <c r="C55" s="255">
        <f t="shared" ref="C55:AG55" si="6">IF(ROUND(C53,1)=0,0,B55+C54/$B$40)</f>
        <v>0</v>
      </c>
      <c r="D55" s="255">
        <f t="shared" si="6"/>
        <v>0</v>
      </c>
      <c r="E55" s="255">
        <f t="shared" si="6"/>
        <v>0</v>
      </c>
      <c r="F55" s="255">
        <f t="shared" si="6"/>
        <v>0</v>
      </c>
      <c r="G55" s="255">
        <f t="shared" si="6"/>
        <v>0</v>
      </c>
      <c r="H55" s="255">
        <f t="shared" si="6"/>
        <v>0</v>
      </c>
      <c r="I55" s="255">
        <f t="shared" si="6"/>
        <v>0</v>
      </c>
      <c r="J55" s="255">
        <f t="shared" si="6"/>
        <v>0</v>
      </c>
      <c r="K55" s="255">
        <f t="shared" si="6"/>
        <v>0</v>
      </c>
      <c r="L55" s="255">
        <f t="shared" si="6"/>
        <v>0</v>
      </c>
      <c r="M55" s="255">
        <f t="shared" si="6"/>
        <v>0</v>
      </c>
      <c r="N55" s="255">
        <f t="shared" si="6"/>
        <v>0</v>
      </c>
      <c r="O55" s="255">
        <f t="shared" si="6"/>
        <v>0</v>
      </c>
      <c r="P55" s="255">
        <f t="shared" si="6"/>
        <v>0</v>
      </c>
      <c r="Q55" s="255">
        <f t="shared" si="6"/>
        <v>0</v>
      </c>
      <c r="R55" s="255">
        <f t="shared" si="6"/>
        <v>0</v>
      </c>
      <c r="S55" s="255">
        <f t="shared" si="6"/>
        <v>0</v>
      </c>
      <c r="T55" s="255">
        <f t="shared" si="6"/>
        <v>0</v>
      </c>
      <c r="U55" s="255">
        <f t="shared" si="6"/>
        <v>0</v>
      </c>
      <c r="V55" s="255">
        <f t="shared" si="6"/>
        <v>0</v>
      </c>
      <c r="W55" s="255">
        <f t="shared" si="6"/>
        <v>0</v>
      </c>
      <c r="X55" s="255">
        <f t="shared" si="6"/>
        <v>0</v>
      </c>
      <c r="Y55" s="255">
        <f t="shared" si="6"/>
        <v>0</v>
      </c>
      <c r="Z55" s="255">
        <f t="shared" si="6"/>
        <v>0</v>
      </c>
      <c r="AA55" s="255">
        <f t="shared" si="6"/>
        <v>0</v>
      </c>
      <c r="AB55" s="255">
        <f t="shared" si="6"/>
        <v>0</v>
      </c>
      <c r="AC55" s="255">
        <f t="shared" si="6"/>
        <v>0</v>
      </c>
      <c r="AD55" s="255">
        <f t="shared" si="6"/>
        <v>0</v>
      </c>
      <c r="AE55" s="255">
        <f t="shared" si="6"/>
        <v>0</v>
      </c>
      <c r="AF55" s="255">
        <f t="shared" si="6"/>
        <v>0</v>
      </c>
      <c r="AG55" s="255">
        <f t="shared" si="6"/>
        <v>0</v>
      </c>
    </row>
    <row r="56" spans="1:33" ht="16.5" thickBot="1" x14ac:dyDescent="0.25">
      <c r="A56" s="216" t="s">
        <v>316</v>
      </c>
      <c r="B56" s="217">
        <f t="shared" ref="B56:AG56" si="7">AVERAGE(SUM(B53:B54),(SUM(B53:B54)-B55))*$B$42</f>
        <v>0</v>
      </c>
      <c r="C56" s="217">
        <f t="shared" si="7"/>
        <v>0</v>
      </c>
      <c r="D56" s="217">
        <f t="shared" si="7"/>
        <v>0</v>
      </c>
      <c r="E56" s="217">
        <f t="shared" si="7"/>
        <v>0</v>
      </c>
      <c r="F56" s="217">
        <f t="shared" si="7"/>
        <v>0</v>
      </c>
      <c r="G56" s="217">
        <f t="shared" si="7"/>
        <v>0</v>
      </c>
      <c r="H56" s="217">
        <f t="shared" si="7"/>
        <v>0</v>
      </c>
      <c r="I56" s="217">
        <f t="shared" si="7"/>
        <v>0</v>
      </c>
      <c r="J56" s="217">
        <f t="shared" si="7"/>
        <v>0</v>
      </c>
      <c r="K56" s="217">
        <f t="shared" si="7"/>
        <v>0</v>
      </c>
      <c r="L56" s="217">
        <f t="shared" si="7"/>
        <v>0</v>
      </c>
      <c r="M56" s="217">
        <f t="shared" si="7"/>
        <v>0</v>
      </c>
      <c r="N56" s="217">
        <f t="shared" si="7"/>
        <v>0</v>
      </c>
      <c r="O56" s="217">
        <f t="shared" si="7"/>
        <v>0</v>
      </c>
      <c r="P56" s="217">
        <f t="shared" si="7"/>
        <v>0</v>
      </c>
      <c r="Q56" s="217">
        <f t="shared" si="7"/>
        <v>0</v>
      </c>
      <c r="R56" s="217">
        <f t="shared" si="7"/>
        <v>0</v>
      </c>
      <c r="S56" s="217">
        <f t="shared" si="7"/>
        <v>0</v>
      </c>
      <c r="T56" s="217">
        <f t="shared" si="7"/>
        <v>0</v>
      </c>
      <c r="U56" s="217">
        <f t="shared" si="7"/>
        <v>0</v>
      </c>
      <c r="V56" s="217">
        <f t="shared" si="7"/>
        <v>0</v>
      </c>
      <c r="W56" s="217">
        <f t="shared" si="7"/>
        <v>0</v>
      </c>
      <c r="X56" s="217">
        <f t="shared" si="7"/>
        <v>0</v>
      </c>
      <c r="Y56" s="217">
        <f t="shared" si="7"/>
        <v>0</v>
      </c>
      <c r="Z56" s="217">
        <f t="shared" si="7"/>
        <v>0</v>
      </c>
      <c r="AA56" s="217">
        <f t="shared" si="7"/>
        <v>0</v>
      </c>
      <c r="AB56" s="217">
        <f t="shared" si="7"/>
        <v>0</v>
      </c>
      <c r="AC56" s="217">
        <f t="shared" si="7"/>
        <v>0</v>
      </c>
      <c r="AD56" s="217">
        <f t="shared" si="7"/>
        <v>0</v>
      </c>
      <c r="AE56" s="217">
        <f t="shared" si="7"/>
        <v>0</v>
      </c>
      <c r="AF56" s="217">
        <f t="shared" si="7"/>
        <v>0</v>
      </c>
      <c r="AG56" s="217">
        <f t="shared" si="7"/>
        <v>0</v>
      </c>
    </row>
    <row r="57" spans="1:33"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row>
    <row r="58" spans="1:33" x14ac:dyDescent="0.2">
      <c r="A58" s="213" t="s">
        <v>532</v>
      </c>
      <c r="B58" s="214">
        <v>1</v>
      </c>
      <c r="C58" s="214">
        <f>B58+1</f>
        <v>2</v>
      </c>
      <c r="D58" s="214">
        <f t="shared" ref="D58:AG58" si="8">C58+1</f>
        <v>3</v>
      </c>
      <c r="E58" s="214">
        <f t="shared" si="8"/>
        <v>4</v>
      </c>
      <c r="F58" s="214">
        <f t="shared" si="8"/>
        <v>5</v>
      </c>
      <c r="G58" s="214">
        <f t="shared" si="8"/>
        <v>6</v>
      </c>
      <c r="H58" s="214">
        <f t="shared" si="8"/>
        <v>7</v>
      </c>
      <c r="I58" s="214">
        <f t="shared" si="8"/>
        <v>8</v>
      </c>
      <c r="J58" s="214">
        <f t="shared" si="8"/>
        <v>9</v>
      </c>
      <c r="K58" s="214">
        <f t="shared" si="8"/>
        <v>10</v>
      </c>
      <c r="L58" s="214">
        <f t="shared" si="8"/>
        <v>11</v>
      </c>
      <c r="M58" s="214">
        <f t="shared" si="8"/>
        <v>12</v>
      </c>
      <c r="N58" s="214">
        <f t="shared" si="8"/>
        <v>13</v>
      </c>
      <c r="O58" s="214">
        <f t="shared" si="8"/>
        <v>14</v>
      </c>
      <c r="P58" s="214">
        <f t="shared" si="8"/>
        <v>15</v>
      </c>
      <c r="Q58" s="214">
        <f t="shared" si="8"/>
        <v>16</v>
      </c>
      <c r="R58" s="214">
        <f t="shared" si="8"/>
        <v>17</v>
      </c>
      <c r="S58" s="214">
        <f t="shared" si="8"/>
        <v>18</v>
      </c>
      <c r="T58" s="214">
        <f t="shared" si="8"/>
        <v>19</v>
      </c>
      <c r="U58" s="214">
        <f t="shared" si="8"/>
        <v>20</v>
      </c>
      <c r="V58" s="214">
        <f t="shared" si="8"/>
        <v>21</v>
      </c>
      <c r="W58" s="214">
        <f t="shared" si="8"/>
        <v>22</v>
      </c>
      <c r="X58" s="214">
        <f t="shared" si="8"/>
        <v>23</v>
      </c>
      <c r="Y58" s="214">
        <f t="shared" si="8"/>
        <v>24</v>
      </c>
      <c r="Z58" s="214">
        <f t="shared" si="8"/>
        <v>25</v>
      </c>
      <c r="AA58" s="214">
        <f t="shared" si="8"/>
        <v>26</v>
      </c>
      <c r="AB58" s="214">
        <f t="shared" si="8"/>
        <v>27</v>
      </c>
      <c r="AC58" s="214">
        <f t="shared" si="8"/>
        <v>28</v>
      </c>
      <c r="AD58" s="214">
        <f t="shared" si="8"/>
        <v>29</v>
      </c>
      <c r="AE58" s="214">
        <f t="shared" si="8"/>
        <v>30</v>
      </c>
      <c r="AF58" s="214">
        <f t="shared" si="8"/>
        <v>31</v>
      </c>
      <c r="AG58" s="214">
        <f t="shared" si="8"/>
        <v>32</v>
      </c>
    </row>
    <row r="59" spans="1:33" ht="14.25" x14ac:dyDescent="0.2">
      <c r="A59" s="221" t="s">
        <v>315</v>
      </c>
      <c r="B59" s="256">
        <f t="shared" ref="B59:AG59" si="9">B50*$B$28</f>
        <v>110557842.53</v>
      </c>
      <c r="C59" s="256">
        <f t="shared" si="9"/>
        <v>18026809.812651999</v>
      </c>
      <c r="D59" s="256">
        <f t="shared" si="9"/>
        <v>11790418.498848001</v>
      </c>
      <c r="E59" s="256">
        <f t="shared" si="9"/>
        <v>20325406.512600005</v>
      </c>
      <c r="F59" s="256">
        <f t="shared" si="9"/>
        <v>21219724.399154402</v>
      </c>
      <c r="G59" s="256">
        <f t="shared" si="9"/>
        <v>22110952.82391889</v>
      </c>
      <c r="H59" s="256">
        <f t="shared" si="9"/>
        <v>23061723.7953474</v>
      </c>
      <c r="I59" s="256">
        <f t="shared" si="9"/>
        <v>24076439.642342687</v>
      </c>
      <c r="J59" s="256">
        <f t="shared" si="9"/>
        <v>25135802.986605767</v>
      </c>
      <c r="K59" s="256">
        <f t="shared" si="9"/>
        <v>26216642.515029814</v>
      </c>
      <c r="L59" s="256">
        <f t="shared" si="9"/>
        <v>27317741.500661064</v>
      </c>
      <c r="M59" s="256">
        <f t="shared" si="9"/>
        <v>28437768.902188167</v>
      </c>
      <c r="N59" s="256">
        <f t="shared" si="9"/>
        <v>29575279.658275694</v>
      </c>
      <c r="O59" s="256">
        <f t="shared" si="9"/>
        <v>30758290.84460672</v>
      </c>
      <c r="P59" s="256">
        <f t="shared" si="9"/>
        <v>31988622.478390992</v>
      </c>
      <c r="Q59" s="256">
        <f t="shared" si="9"/>
        <v>33268167.377526633</v>
      </c>
      <c r="R59" s="256">
        <f t="shared" si="9"/>
        <v>34598894.072627701</v>
      </c>
      <c r="S59" s="256">
        <f t="shared" si="9"/>
        <v>35982849.835532807</v>
      </c>
      <c r="T59" s="256">
        <f t="shared" si="9"/>
        <v>37422163.828954116</v>
      </c>
      <c r="U59" s="256">
        <f t="shared" si="9"/>
        <v>38919050.382112287</v>
      </c>
      <c r="V59" s="256">
        <f t="shared" si="9"/>
        <v>40475812.397396781</v>
      </c>
      <c r="W59" s="256">
        <f t="shared" si="9"/>
        <v>42094844.893292658</v>
      </c>
      <c r="X59" s="256">
        <f t="shared" si="9"/>
        <v>43778638.689024366</v>
      </c>
      <c r="Y59" s="256">
        <f t="shared" si="9"/>
        <v>45529784.236585341</v>
      </c>
      <c r="Z59" s="256">
        <f t="shared" si="9"/>
        <v>47350975.606048755</v>
      </c>
      <c r="AA59" s="256">
        <f t="shared" si="9"/>
        <v>49245014.630290709</v>
      </c>
      <c r="AB59" s="256">
        <f t="shared" si="9"/>
        <v>51214815.215502344</v>
      </c>
      <c r="AC59" s="256">
        <f t="shared" si="9"/>
        <v>53263407.824122436</v>
      </c>
      <c r="AD59" s="256">
        <f t="shared" si="9"/>
        <v>55393944.13708733</v>
      </c>
      <c r="AE59" s="256">
        <f t="shared" si="9"/>
        <v>57609701.902570829</v>
      </c>
      <c r="AF59" s="256">
        <f t="shared" si="9"/>
        <v>59914089.978673667</v>
      </c>
      <c r="AG59" s="256">
        <f t="shared" si="9"/>
        <v>62310653.577820614</v>
      </c>
    </row>
    <row r="60" spans="1:33" x14ac:dyDescent="0.2">
      <c r="A60" s="215" t="s">
        <v>314</v>
      </c>
      <c r="B60" s="255">
        <f t="shared" ref="B60:Z60" si="10">SUM(B61:B65)</f>
        <v>0</v>
      </c>
      <c r="C60" s="255">
        <f t="shared" si="10"/>
        <v>0</v>
      </c>
      <c r="D60" s="255">
        <f>SUM(D61:D65)</f>
        <v>-9917731.3790000007</v>
      </c>
      <c r="E60" s="255">
        <f t="shared" si="10"/>
        <v>-10413617.947950002</v>
      </c>
      <c r="F60" s="255">
        <f t="shared" si="10"/>
        <v>-10871817.137659801</v>
      </c>
      <c r="G60" s="255">
        <f t="shared" si="10"/>
        <v>-11328433.457441514</v>
      </c>
      <c r="H60" s="255">
        <f t="shared" si="10"/>
        <v>-11815556.096111497</v>
      </c>
      <c r="I60" s="255">
        <f t="shared" si="10"/>
        <v>-12335440.564340403</v>
      </c>
      <c r="J60" s="255">
        <f t="shared" si="10"/>
        <v>-12878199.949171383</v>
      </c>
      <c r="K60" s="255">
        <f t="shared" si="10"/>
        <v>-13431962.546985751</v>
      </c>
      <c r="L60" s="255">
        <f t="shared" si="10"/>
        <v>-13996104.973959154</v>
      </c>
      <c r="M60" s="255">
        <f t="shared" si="10"/>
        <v>-14569945.277891478</v>
      </c>
      <c r="N60" s="255">
        <f t="shared" si="10"/>
        <v>-15152743.089007137</v>
      </c>
      <c r="O60" s="255">
        <f t="shared" si="10"/>
        <v>-15758852.812567422</v>
      </c>
      <c r="P60" s="255">
        <f t="shared" si="10"/>
        <v>-16389206.92507012</v>
      </c>
      <c r="Q60" s="255">
        <f t="shared" si="10"/>
        <v>-17044775.202072926</v>
      </c>
      <c r="R60" s="255">
        <f t="shared" si="10"/>
        <v>-17726566.210155841</v>
      </c>
      <c r="S60" s="255">
        <f t="shared" si="10"/>
        <v>-18435628.858562078</v>
      </c>
      <c r="T60" s="255">
        <f t="shared" si="10"/>
        <v>-19173054.012904558</v>
      </c>
      <c r="U60" s="255">
        <f t="shared" si="10"/>
        <v>-19939976.173420742</v>
      </c>
      <c r="V60" s="255">
        <f t="shared" si="10"/>
        <v>-20737575.220357575</v>
      </c>
      <c r="W60" s="255">
        <f t="shared" si="10"/>
        <v>-21567078.22917188</v>
      </c>
      <c r="X60" s="255">
        <f t="shared" si="10"/>
        <v>-22429761.358338755</v>
      </c>
      <c r="Y60" s="255">
        <f t="shared" si="10"/>
        <v>-23326951.812672306</v>
      </c>
      <c r="Z60" s="255">
        <f t="shared" si="10"/>
        <v>-24260029.885179203</v>
      </c>
      <c r="AA60" s="255">
        <f t="shared" ref="AA60:AG60" si="11">SUM(AA61:AA65)</f>
        <v>-25230431.08058637</v>
      </c>
      <c r="AB60" s="255">
        <f t="shared" si="11"/>
        <v>-26239648.323809825</v>
      </c>
      <c r="AC60" s="255">
        <f t="shared" si="11"/>
        <v>-27289234.256762218</v>
      </c>
      <c r="AD60" s="255">
        <f t="shared" si="11"/>
        <v>-28380803.627032708</v>
      </c>
      <c r="AE60" s="255">
        <f t="shared" si="11"/>
        <v>-29516035.77211402</v>
      </c>
      <c r="AF60" s="255">
        <f t="shared" si="11"/>
        <v>-30696677.202998579</v>
      </c>
      <c r="AG60" s="255">
        <f t="shared" si="11"/>
        <v>-31924544.291118521</v>
      </c>
    </row>
    <row r="61" spans="1:33" x14ac:dyDescent="0.2">
      <c r="A61" s="222" t="s">
        <v>313</v>
      </c>
      <c r="B61" s="255"/>
      <c r="C61" s="255"/>
      <c r="D61" s="255">
        <f>-IF(D$47&lt;=$B$30,0,$B$29*(1+D$49)*$B$28)</f>
        <v>-9917731.3790000007</v>
      </c>
      <c r="E61" s="255">
        <f t="shared" ref="E61:AG61" si="12">-IF(E$47&lt;=$B$30,0,$B$29*(1+E$49)*$B$28)</f>
        <v>-10413617.947950002</v>
      </c>
      <c r="F61" s="255">
        <f t="shared" si="12"/>
        <v>-10871817.137659801</v>
      </c>
      <c r="G61" s="255">
        <f t="shared" si="12"/>
        <v>-11328433.457441514</v>
      </c>
      <c r="H61" s="255">
        <f t="shared" si="12"/>
        <v>-11815556.096111497</v>
      </c>
      <c r="I61" s="255">
        <f t="shared" si="12"/>
        <v>-12335440.564340403</v>
      </c>
      <c r="J61" s="255">
        <f t="shared" si="12"/>
        <v>-12878199.949171383</v>
      </c>
      <c r="K61" s="255">
        <f t="shared" si="12"/>
        <v>-13431962.546985751</v>
      </c>
      <c r="L61" s="255">
        <f t="shared" si="12"/>
        <v>-13996104.973959154</v>
      </c>
      <c r="M61" s="255">
        <f t="shared" si="12"/>
        <v>-14569945.277891478</v>
      </c>
      <c r="N61" s="255">
        <f t="shared" si="12"/>
        <v>-15152743.089007137</v>
      </c>
      <c r="O61" s="255">
        <f t="shared" si="12"/>
        <v>-15758852.812567422</v>
      </c>
      <c r="P61" s="255">
        <f t="shared" si="12"/>
        <v>-16389206.92507012</v>
      </c>
      <c r="Q61" s="255">
        <f t="shared" si="12"/>
        <v>-17044775.202072926</v>
      </c>
      <c r="R61" s="255">
        <f t="shared" si="12"/>
        <v>-17726566.210155841</v>
      </c>
      <c r="S61" s="255">
        <f t="shared" si="12"/>
        <v>-18435628.858562078</v>
      </c>
      <c r="T61" s="255">
        <f t="shared" si="12"/>
        <v>-19173054.012904558</v>
      </c>
      <c r="U61" s="255">
        <f t="shared" si="12"/>
        <v>-19939976.173420742</v>
      </c>
      <c r="V61" s="255">
        <f t="shared" si="12"/>
        <v>-20737575.220357575</v>
      </c>
      <c r="W61" s="255">
        <f t="shared" si="12"/>
        <v>-21567078.22917188</v>
      </c>
      <c r="X61" s="255">
        <f t="shared" si="12"/>
        <v>-22429761.358338755</v>
      </c>
      <c r="Y61" s="255">
        <f t="shared" si="12"/>
        <v>-23326951.812672306</v>
      </c>
      <c r="Z61" s="255">
        <f t="shared" si="12"/>
        <v>-24260029.885179203</v>
      </c>
      <c r="AA61" s="255">
        <f t="shared" si="12"/>
        <v>-25230431.08058637</v>
      </c>
      <c r="AB61" s="255">
        <f t="shared" si="12"/>
        <v>-26239648.323809825</v>
      </c>
      <c r="AC61" s="255">
        <f t="shared" si="12"/>
        <v>-27289234.256762218</v>
      </c>
      <c r="AD61" s="255">
        <f t="shared" si="12"/>
        <v>-28380803.627032708</v>
      </c>
      <c r="AE61" s="255">
        <f t="shared" si="12"/>
        <v>-29516035.77211402</v>
      </c>
      <c r="AF61" s="255">
        <f t="shared" si="12"/>
        <v>-30696677.202998579</v>
      </c>
      <c r="AG61" s="255">
        <f t="shared" si="12"/>
        <v>-31924544.291118521</v>
      </c>
    </row>
    <row r="62" spans="1:33" x14ac:dyDescent="0.2">
      <c r="A62" s="222"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row>
    <row r="63" spans="1:33" x14ac:dyDescent="0.2">
      <c r="A63" s="222" t="s">
        <v>529</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row>
    <row r="64" spans="1:33" x14ac:dyDescent="0.2">
      <c r="A64" s="222" t="s">
        <v>529</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row>
    <row r="65" spans="1:33" ht="31.5" x14ac:dyDescent="0.2">
      <c r="A65" s="222" t="s">
        <v>533</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row>
    <row r="66" spans="1:33" ht="28.5" x14ac:dyDescent="0.2">
      <c r="A66" s="223" t="s">
        <v>311</v>
      </c>
      <c r="B66" s="256">
        <f t="shared" ref="B66:AG66" si="13">B59+B60</f>
        <v>110557842.53</v>
      </c>
      <c r="C66" s="256">
        <f t="shared" si="13"/>
        <v>18026809.812651999</v>
      </c>
      <c r="D66" s="256">
        <f t="shared" si="13"/>
        <v>1872687.1198479999</v>
      </c>
      <c r="E66" s="256">
        <f t="shared" si="13"/>
        <v>9911788.5646500029</v>
      </c>
      <c r="F66" s="256">
        <f t="shared" si="13"/>
        <v>10347907.261494601</v>
      </c>
      <c r="G66" s="256">
        <f t="shared" si="13"/>
        <v>10782519.366477376</v>
      </c>
      <c r="H66" s="256">
        <f t="shared" si="13"/>
        <v>11246167.699235903</v>
      </c>
      <c r="I66" s="256">
        <f t="shared" si="13"/>
        <v>11740999.078002283</v>
      </c>
      <c r="J66" s="256">
        <f t="shared" si="13"/>
        <v>12257603.037434384</v>
      </c>
      <c r="K66" s="256">
        <f t="shared" si="13"/>
        <v>12784679.968044063</v>
      </c>
      <c r="L66" s="256">
        <f t="shared" si="13"/>
        <v>13321636.52670191</v>
      </c>
      <c r="M66" s="256">
        <f t="shared" si="13"/>
        <v>13867823.624296689</v>
      </c>
      <c r="N66" s="256">
        <f t="shared" si="13"/>
        <v>14422536.569268556</v>
      </c>
      <c r="O66" s="256">
        <f t="shared" si="13"/>
        <v>14999438.032039298</v>
      </c>
      <c r="P66" s="256">
        <f t="shared" si="13"/>
        <v>15599415.553320872</v>
      </c>
      <c r="Q66" s="256">
        <f t="shared" si="13"/>
        <v>16223392.175453708</v>
      </c>
      <c r="R66" s="256">
        <f t="shared" si="13"/>
        <v>16872327.86247186</v>
      </c>
      <c r="S66" s="256">
        <f t="shared" si="13"/>
        <v>17547220.976970728</v>
      </c>
      <c r="T66" s="256">
        <f t="shared" si="13"/>
        <v>18249109.816049557</v>
      </c>
      <c r="U66" s="256">
        <f t="shared" si="13"/>
        <v>18979074.208691545</v>
      </c>
      <c r="V66" s="256">
        <f t="shared" si="13"/>
        <v>19738237.177039206</v>
      </c>
      <c r="W66" s="256">
        <f t="shared" si="13"/>
        <v>20527766.664120778</v>
      </c>
      <c r="X66" s="256">
        <f t="shared" si="13"/>
        <v>21348877.330685612</v>
      </c>
      <c r="Y66" s="256">
        <f t="shared" si="13"/>
        <v>22202832.423913036</v>
      </c>
      <c r="Z66" s="256">
        <f t="shared" si="13"/>
        <v>23090945.720869552</v>
      </c>
      <c r="AA66" s="256">
        <f t="shared" si="13"/>
        <v>24014583.549704339</v>
      </c>
      <c r="AB66" s="256">
        <f t="shared" si="13"/>
        <v>24975166.891692519</v>
      </c>
      <c r="AC66" s="256">
        <f t="shared" si="13"/>
        <v>25974173.567360219</v>
      </c>
      <c r="AD66" s="256">
        <f t="shared" si="13"/>
        <v>27013140.510054622</v>
      </c>
      <c r="AE66" s="256">
        <f t="shared" si="13"/>
        <v>28093666.130456809</v>
      </c>
      <c r="AF66" s="256">
        <f t="shared" si="13"/>
        <v>29217412.775675088</v>
      </c>
      <c r="AG66" s="256">
        <f t="shared" si="13"/>
        <v>30386109.286702093</v>
      </c>
    </row>
    <row r="67" spans="1:33" x14ac:dyDescent="0.2">
      <c r="A67" s="222" t="s">
        <v>306</v>
      </c>
      <c r="B67" s="224"/>
      <c r="C67" s="255"/>
      <c r="D67" s="255">
        <f>(B81+C81+D81+E81)*$B$28/$B$27</f>
        <v>-3813447.260666667</v>
      </c>
      <c r="E67" s="255">
        <f t="shared" ref="E67:AG67" si="14">D67</f>
        <v>-3813447.260666667</v>
      </c>
      <c r="F67" s="255">
        <f t="shared" si="14"/>
        <v>-3813447.260666667</v>
      </c>
      <c r="G67" s="255">
        <f t="shared" si="14"/>
        <v>-3813447.260666667</v>
      </c>
      <c r="H67" s="255">
        <f t="shared" si="14"/>
        <v>-3813447.260666667</v>
      </c>
      <c r="I67" s="255">
        <f t="shared" si="14"/>
        <v>-3813447.260666667</v>
      </c>
      <c r="J67" s="255">
        <f t="shared" si="14"/>
        <v>-3813447.260666667</v>
      </c>
      <c r="K67" s="255">
        <f t="shared" si="14"/>
        <v>-3813447.260666667</v>
      </c>
      <c r="L67" s="255">
        <f t="shared" si="14"/>
        <v>-3813447.260666667</v>
      </c>
      <c r="M67" s="255">
        <f t="shared" si="14"/>
        <v>-3813447.260666667</v>
      </c>
      <c r="N67" s="255">
        <f t="shared" si="14"/>
        <v>-3813447.260666667</v>
      </c>
      <c r="O67" s="255">
        <f t="shared" si="14"/>
        <v>-3813447.260666667</v>
      </c>
      <c r="P67" s="255">
        <f t="shared" si="14"/>
        <v>-3813447.260666667</v>
      </c>
      <c r="Q67" s="255">
        <f t="shared" si="14"/>
        <v>-3813447.260666667</v>
      </c>
      <c r="R67" s="255">
        <f t="shared" si="14"/>
        <v>-3813447.260666667</v>
      </c>
      <c r="S67" s="255">
        <f t="shared" si="14"/>
        <v>-3813447.260666667</v>
      </c>
      <c r="T67" s="255">
        <f t="shared" si="14"/>
        <v>-3813447.260666667</v>
      </c>
      <c r="U67" s="255">
        <f t="shared" si="14"/>
        <v>-3813447.260666667</v>
      </c>
      <c r="V67" s="255">
        <f t="shared" si="14"/>
        <v>-3813447.260666667</v>
      </c>
      <c r="W67" s="255">
        <f t="shared" si="14"/>
        <v>-3813447.260666667</v>
      </c>
      <c r="X67" s="255">
        <f t="shared" si="14"/>
        <v>-3813447.260666667</v>
      </c>
      <c r="Y67" s="255">
        <f t="shared" si="14"/>
        <v>-3813447.260666667</v>
      </c>
      <c r="Z67" s="255">
        <f t="shared" si="14"/>
        <v>-3813447.260666667</v>
      </c>
      <c r="AA67" s="255">
        <f t="shared" si="14"/>
        <v>-3813447.260666667</v>
      </c>
      <c r="AB67" s="255">
        <f t="shared" si="14"/>
        <v>-3813447.260666667</v>
      </c>
      <c r="AC67" s="255">
        <f t="shared" si="14"/>
        <v>-3813447.260666667</v>
      </c>
      <c r="AD67" s="255">
        <f t="shared" si="14"/>
        <v>-3813447.260666667</v>
      </c>
      <c r="AE67" s="255">
        <f t="shared" si="14"/>
        <v>-3813447.260666667</v>
      </c>
      <c r="AF67" s="255">
        <f t="shared" si="14"/>
        <v>-3813447.260666667</v>
      </c>
      <c r="AG67" s="255">
        <f t="shared" si="14"/>
        <v>-3813447.260666667</v>
      </c>
    </row>
    <row r="68" spans="1:33" ht="28.5" x14ac:dyDescent="0.2">
      <c r="A68" s="223" t="s">
        <v>307</v>
      </c>
      <c r="B68" s="256">
        <f t="shared" ref="B68:J68" si="15">B66+B67</f>
        <v>110557842.53</v>
      </c>
      <c r="C68" s="256">
        <f>C66+C67</f>
        <v>18026809.812651999</v>
      </c>
      <c r="D68" s="256">
        <f>D66+D67</f>
        <v>-1940760.1408186671</v>
      </c>
      <c r="E68" s="256">
        <f t="shared" si="15"/>
        <v>6098341.3039833363</v>
      </c>
      <c r="F68" s="256">
        <f>F66+C67</f>
        <v>10347907.261494601</v>
      </c>
      <c r="G68" s="256">
        <f t="shared" si="15"/>
        <v>6969072.1058107093</v>
      </c>
      <c r="H68" s="256">
        <f t="shared" si="15"/>
        <v>7432720.4385692365</v>
      </c>
      <c r="I68" s="256">
        <f t="shared" si="15"/>
        <v>7927551.8173356168</v>
      </c>
      <c r="J68" s="256">
        <f t="shared" si="15"/>
        <v>8444155.7767677177</v>
      </c>
      <c r="K68" s="256">
        <f>K66+K67</f>
        <v>8971232.7073773965</v>
      </c>
      <c r="L68" s="256">
        <f>L66+L67</f>
        <v>9508189.2660352439</v>
      </c>
      <c r="M68" s="256">
        <f t="shared" ref="M68:AG68" si="16">M66+M67</f>
        <v>10054376.363630023</v>
      </c>
      <c r="N68" s="256">
        <f t="shared" si="16"/>
        <v>10609089.30860189</v>
      </c>
      <c r="O68" s="256">
        <f t="shared" si="16"/>
        <v>11185990.771372631</v>
      </c>
      <c r="P68" s="256">
        <f t="shared" si="16"/>
        <v>11785968.292654205</v>
      </c>
      <c r="Q68" s="256">
        <f t="shared" si="16"/>
        <v>12409944.914787041</v>
      </c>
      <c r="R68" s="256">
        <f t="shared" si="16"/>
        <v>13058880.601805193</v>
      </c>
      <c r="S68" s="256">
        <f t="shared" si="16"/>
        <v>13733773.716304062</v>
      </c>
      <c r="T68" s="256">
        <f t="shared" si="16"/>
        <v>14435662.555382891</v>
      </c>
      <c r="U68" s="256">
        <f t="shared" si="16"/>
        <v>15165626.948024878</v>
      </c>
      <c r="V68" s="256">
        <f t="shared" si="16"/>
        <v>15924789.916372539</v>
      </c>
      <c r="W68" s="256">
        <f t="shared" si="16"/>
        <v>16714319.403454112</v>
      </c>
      <c r="X68" s="256">
        <f t="shared" si="16"/>
        <v>17535430.070018943</v>
      </c>
      <c r="Y68" s="256">
        <f t="shared" si="16"/>
        <v>18389385.163246367</v>
      </c>
      <c r="Z68" s="256">
        <f t="shared" si="16"/>
        <v>19277498.460202884</v>
      </c>
      <c r="AA68" s="256">
        <f t="shared" si="16"/>
        <v>20201136.289037671</v>
      </c>
      <c r="AB68" s="256">
        <f t="shared" si="16"/>
        <v>21161719.631025851</v>
      </c>
      <c r="AC68" s="256">
        <f t="shared" si="16"/>
        <v>22160726.30669355</v>
      </c>
      <c r="AD68" s="256">
        <f t="shared" si="16"/>
        <v>23199693.249387953</v>
      </c>
      <c r="AE68" s="256">
        <f t="shared" si="16"/>
        <v>24280218.869790141</v>
      </c>
      <c r="AF68" s="256">
        <f t="shared" si="16"/>
        <v>25403965.51500842</v>
      </c>
      <c r="AG68" s="256">
        <f t="shared" si="16"/>
        <v>26572662.026035424</v>
      </c>
    </row>
    <row r="69" spans="1:33" x14ac:dyDescent="0.2">
      <c r="A69" s="222" t="s">
        <v>305</v>
      </c>
      <c r="B69" s="255">
        <f t="shared" ref="B69:AG69" si="17">-B56</f>
        <v>0</v>
      </c>
      <c r="C69" s="255">
        <f t="shared" si="17"/>
        <v>0</v>
      </c>
      <c r="D69" s="255">
        <f t="shared" si="17"/>
        <v>0</v>
      </c>
      <c r="E69" s="255">
        <f t="shared" si="17"/>
        <v>0</v>
      </c>
      <c r="F69" s="255">
        <f t="shared" si="17"/>
        <v>0</v>
      </c>
      <c r="G69" s="255">
        <f t="shared" si="17"/>
        <v>0</v>
      </c>
      <c r="H69" s="255">
        <f t="shared" si="17"/>
        <v>0</v>
      </c>
      <c r="I69" s="255">
        <f t="shared" si="17"/>
        <v>0</v>
      </c>
      <c r="J69" s="255">
        <f t="shared" si="17"/>
        <v>0</v>
      </c>
      <c r="K69" s="255">
        <f t="shared" si="17"/>
        <v>0</v>
      </c>
      <c r="L69" s="255">
        <f t="shared" si="17"/>
        <v>0</v>
      </c>
      <c r="M69" s="255">
        <f t="shared" si="17"/>
        <v>0</v>
      </c>
      <c r="N69" s="255">
        <f t="shared" si="17"/>
        <v>0</v>
      </c>
      <c r="O69" s="255">
        <f t="shared" si="17"/>
        <v>0</v>
      </c>
      <c r="P69" s="255">
        <f t="shared" si="17"/>
        <v>0</v>
      </c>
      <c r="Q69" s="255">
        <f t="shared" si="17"/>
        <v>0</v>
      </c>
      <c r="R69" s="255">
        <f t="shared" si="17"/>
        <v>0</v>
      </c>
      <c r="S69" s="255">
        <f t="shared" si="17"/>
        <v>0</v>
      </c>
      <c r="T69" s="255">
        <f t="shared" si="17"/>
        <v>0</v>
      </c>
      <c r="U69" s="255">
        <f t="shared" si="17"/>
        <v>0</v>
      </c>
      <c r="V69" s="255">
        <f t="shared" si="17"/>
        <v>0</v>
      </c>
      <c r="W69" s="255">
        <f t="shared" si="17"/>
        <v>0</v>
      </c>
      <c r="X69" s="255">
        <f t="shared" si="17"/>
        <v>0</v>
      </c>
      <c r="Y69" s="255">
        <f t="shared" si="17"/>
        <v>0</v>
      </c>
      <c r="Z69" s="255">
        <f t="shared" si="17"/>
        <v>0</v>
      </c>
      <c r="AA69" s="255">
        <f t="shared" si="17"/>
        <v>0</v>
      </c>
      <c r="AB69" s="255">
        <f t="shared" si="17"/>
        <v>0</v>
      </c>
      <c r="AC69" s="255">
        <f t="shared" si="17"/>
        <v>0</v>
      </c>
      <c r="AD69" s="255">
        <f t="shared" si="17"/>
        <v>0</v>
      </c>
      <c r="AE69" s="255">
        <f t="shared" si="17"/>
        <v>0</v>
      </c>
      <c r="AF69" s="255">
        <f t="shared" si="17"/>
        <v>0</v>
      </c>
      <c r="AG69" s="255">
        <f t="shared" si="17"/>
        <v>0</v>
      </c>
    </row>
    <row r="70" spans="1:33" ht="14.25" x14ac:dyDescent="0.2">
      <c r="A70" s="223" t="s">
        <v>310</v>
      </c>
      <c r="B70" s="256">
        <f t="shared" ref="B70:AG70" si="18">B68+B69</f>
        <v>110557842.53</v>
      </c>
      <c r="C70" s="256">
        <f t="shared" si="18"/>
        <v>18026809.812651999</v>
      </c>
      <c r="D70" s="256">
        <f t="shared" si="18"/>
        <v>-1940760.1408186671</v>
      </c>
      <c r="E70" s="256">
        <f t="shared" si="18"/>
        <v>6098341.3039833363</v>
      </c>
      <c r="F70" s="256">
        <f t="shared" si="18"/>
        <v>10347907.261494601</v>
      </c>
      <c r="G70" s="256">
        <f t="shared" si="18"/>
        <v>6969072.1058107093</v>
      </c>
      <c r="H70" s="256">
        <f t="shared" si="18"/>
        <v>7432720.4385692365</v>
      </c>
      <c r="I70" s="256">
        <f t="shared" si="18"/>
        <v>7927551.8173356168</v>
      </c>
      <c r="J70" s="256">
        <f t="shared" si="18"/>
        <v>8444155.7767677177</v>
      </c>
      <c r="K70" s="256">
        <f t="shared" si="18"/>
        <v>8971232.7073773965</v>
      </c>
      <c r="L70" s="256">
        <f t="shared" si="18"/>
        <v>9508189.2660352439</v>
      </c>
      <c r="M70" s="256">
        <f t="shared" si="18"/>
        <v>10054376.363630023</v>
      </c>
      <c r="N70" s="256">
        <f t="shared" si="18"/>
        <v>10609089.30860189</v>
      </c>
      <c r="O70" s="256">
        <f t="shared" si="18"/>
        <v>11185990.771372631</v>
      </c>
      <c r="P70" s="256">
        <f t="shared" si="18"/>
        <v>11785968.292654205</v>
      </c>
      <c r="Q70" s="256">
        <f t="shared" si="18"/>
        <v>12409944.914787041</v>
      </c>
      <c r="R70" s="256">
        <f t="shared" si="18"/>
        <v>13058880.601805193</v>
      </c>
      <c r="S70" s="256">
        <f t="shared" si="18"/>
        <v>13733773.716304062</v>
      </c>
      <c r="T70" s="256">
        <f t="shared" si="18"/>
        <v>14435662.555382891</v>
      </c>
      <c r="U70" s="256">
        <f t="shared" si="18"/>
        <v>15165626.948024878</v>
      </c>
      <c r="V70" s="256">
        <f t="shared" si="18"/>
        <v>15924789.916372539</v>
      </c>
      <c r="W70" s="256">
        <f t="shared" si="18"/>
        <v>16714319.403454112</v>
      </c>
      <c r="X70" s="256">
        <f t="shared" si="18"/>
        <v>17535430.070018943</v>
      </c>
      <c r="Y70" s="256">
        <f t="shared" si="18"/>
        <v>18389385.163246367</v>
      </c>
      <c r="Z70" s="256">
        <f t="shared" si="18"/>
        <v>19277498.460202884</v>
      </c>
      <c r="AA70" s="256">
        <f t="shared" si="18"/>
        <v>20201136.289037671</v>
      </c>
      <c r="AB70" s="256">
        <f t="shared" si="18"/>
        <v>21161719.631025851</v>
      </c>
      <c r="AC70" s="256">
        <f t="shared" si="18"/>
        <v>22160726.30669355</v>
      </c>
      <c r="AD70" s="256">
        <f t="shared" si="18"/>
        <v>23199693.249387953</v>
      </c>
      <c r="AE70" s="256">
        <f t="shared" si="18"/>
        <v>24280218.869790141</v>
      </c>
      <c r="AF70" s="256">
        <f t="shared" si="18"/>
        <v>25403965.51500842</v>
      </c>
      <c r="AG70" s="256">
        <f t="shared" si="18"/>
        <v>26572662.026035424</v>
      </c>
    </row>
    <row r="71" spans="1:33" x14ac:dyDescent="0.2">
      <c r="A71" s="222" t="s">
        <v>304</v>
      </c>
      <c r="B71" s="255">
        <f t="shared" ref="B71:AG71" si="19">-B70*$B$36</f>
        <v>-22111568.506000001</v>
      </c>
      <c r="C71" s="255">
        <f t="shared" si="19"/>
        <v>-3605361.9625304001</v>
      </c>
      <c r="D71" s="255">
        <f t="shared" si="19"/>
        <v>388152.02816373343</v>
      </c>
      <c r="E71" s="255">
        <f t="shared" si="19"/>
        <v>-1219668.2607966673</v>
      </c>
      <c r="F71" s="255">
        <f t="shared" si="19"/>
        <v>-2069581.4522989204</v>
      </c>
      <c r="G71" s="255">
        <f t="shared" si="19"/>
        <v>-1393814.421162142</v>
      </c>
      <c r="H71" s="255">
        <f t="shared" si="19"/>
        <v>-1486544.0877138474</v>
      </c>
      <c r="I71" s="255">
        <f t="shared" si="19"/>
        <v>-1585510.3634671234</v>
      </c>
      <c r="J71" s="255">
        <f t="shared" si="19"/>
        <v>-1688831.1553535436</v>
      </c>
      <c r="K71" s="255">
        <f t="shared" si="19"/>
        <v>-1794246.5414754795</v>
      </c>
      <c r="L71" s="255">
        <f t="shared" si="19"/>
        <v>-1901637.853207049</v>
      </c>
      <c r="M71" s="255">
        <f t="shared" si="19"/>
        <v>-2010875.2727260047</v>
      </c>
      <c r="N71" s="255">
        <f t="shared" si="19"/>
        <v>-2121817.861720378</v>
      </c>
      <c r="O71" s="255">
        <f t="shared" si="19"/>
        <v>-2237198.1542745265</v>
      </c>
      <c r="P71" s="255">
        <f t="shared" si="19"/>
        <v>-2357193.6585308411</v>
      </c>
      <c r="Q71" s="255">
        <f t="shared" si="19"/>
        <v>-2481988.9829574083</v>
      </c>
      <c r="R71" s="255">
        <f t="shared" si="19"/>
        <v>-2611776.1203610389</v>
      </c>
      <c r="S71" s="255">
        <f t="shared" si="19"/>
        <v>-2746754.7432608125</v>
      </c>
      <c r="T71" s="255">
        <f t="shared" si="19"/>
        <v>-2887132.5110765784</v>
      </c>
      <c r="U71" s="255">
        <f t="shared" si="19"/>
        <v>-3033125.3896049759</v>
      </c>
      <c r="V71" s="255">
        <f t="shared" si="19"/>
        <v>-3184957.9832745083</v>
      </c>
      <c r="W71" s="255">
        <f t="shared" si="19"/>
        <v>-3342863.8806908224</v>
      </c>
      <c r="X71" s="255">
        <f t="shared" si="19"/>
        <v>-3507086.0140037891</v>
      </c>
      <c r="Y71" s="255">
        <f t="shared" si="19"/>
        <v>-3677877.0326492735</v>
      </c>
      <c r="Z71" s="255">
        <f t="shared" si="19"/>
        <v>-3855499.6920405771</v>
      </c>
      <c r="AA71" s="255">
        <f t="shared" si="19"/>
        <v>-4040227.2578075342</v>
      </c>
      <c r="AB71" s="255">
        <f t="shared" si="19"/>
        <v>-4232343.9262051703</v>
      </c>
      <c r="AC71" s="255">
        <f t="shared" si="19"/>
        <v>-4432145.2613387099</v>
      </c>
      <c r="AD71" s="255">
        <f t="shared" si="19"/>
        <v>-4639938.6498775911</v>
      </c>
      <c r="AE71" s="255">
        <f t="shared" si="19"/>
        <v>-4856043.7739580283</v>
      </c>
      <c r="AF71" s="255">
        <f t="shared" si="19"/>
        <v>-5080793.103001684</v>
      </c>
      <c r="AG71" s="255">
        <f t="shared" si="19"/>
        <v>-5314532.4052070854</v>
      </c>
    </row>
    <row r="72" spans="1:33" ht="15" thickBot="1" x14ac:dyDescent="0.25">
      <c r="A72" s="225" t="s">
        <v>309</v>
      </c>
      <c r="B72" s="226">
        <f t="shared" ref="B72:AG72" si="20">B70+B71</f>
        <v>88446274.024000004</v>
      </c>
      <c r="C72" s="226">
        <f t="shared" si="20"/>
        <v>14421447.850121599</v>
      </c>
      <c r="D72" s="226">
        <f t="shared" si="20"/>
        <v>-1552608.1126549337</v>
      </c>
      <c r="E72" s="226">
        <f t="shared" si="20"/>
        <v>4878673.0431866692</v>
      </c>
      <c r="F72" s="226">
        <f t="shared" si="20"/>
        <v>8278325.8091956805</v>
      </c>
      <c r="G72" s="226">
        <f t="shared" si="20"/>
        <v>5575257.6846485678</v>
      </c>
      <c r="H72" s="226">
        <f t="shared" si="20"/>
        <v>5946176.3508553896</v>
      </c>
      <c r="I72" s="226">
        <f t="shared" si="20"/>
        <v>6342041.4538684934</v>
      </c>
      <c r="J72" s="226">
        <f t="shared" si="20"/>
        <v>6755324.6214141743</v>
      </c>
      <c r="K72" s="226">
        <f t="shared" si="20"/>
        <v>7176986.165901917</v>
      </c>
      <c r="L72" s="226">
        <f t="shared" si="20"/>
        <v>7606551.4128281949</v>
      </c>
      <c r="M72" s="226">
        <f t="shared" si="20"/>
        <v>8043501.0909040179</v>
      </c>
      <c r="N72" s="226">
        <f t="shared" si="20"/>
        <v>8487271.4468815122</v>
      </c>
      <c r="O72" s="226">
        <f t="shared" si="20"/>
        <v>8948792.6170981042</v>
      </c>
      <c r="P72" s="226">
        <f t="shared" si="20"/>
        <v>9428774.6341233645</v>
      </c>
      <c r="Q72" s="226">
        <f t="shared" si="20"/>
        <v>9927955.9318296332</v>
      </c>
      <c r="R72" s="226">
        <f t="shared" si="20"/>
        <v>10447104.481444154</v>
      </c>
      <c r="S72" s="226">
        <f t="shared" si="20"/>
        <v>10987018.97304325</v>
      </c>
      <c r="T72" s="226">
        <f t="shared" si="20"/>
        <v>11548530.044306312</v>
      </c>
      <c r="U72" s="226">
        <f t="shared" si="20"/>
        <v>12132501.558419902</v>
      </c>
      <c r="V72" s="226">
        <f t="shared" si="20"/>
        <v>12739831.933098031</v>
      </c>
      <c r="W72" s="226">
        <f t="shared" si="20"/>
        <v>13371455.52276329</v>
      </c>
      <c r="X72" s="226">
        <f t="shared" si="20"/>
        <v>14028344.056015154</v>
      </c>
      <c r="Y72" s="226">
        <f t="shared" si="20"/>
        <v>14711508.130597094</v>
      </c>
      <c r="Z72" s="226">
        <f t="shared" si="20"/>
        <v>15421998.768162306</v>
      </c>
      <c r="AA72" s="226">
        <f t="shared" si="20"/>
        <v>16160909.031230137</v>
      </c>
      <c r="AB72" s="226">
        <f t="shared" si="20"/>
        <v>16929375.704820681</v>
      </c>
      <c r="AC72" s="226">
        <f t="shared" si="20"/>
        <v>17728581.045354839</v>
      </c>
      <c r="AD72" s="226">
        <f t="shared" si="20"/>
        <v>18559754.599510364</v>
      </c>
      <c r="AE72" s="226">
        <f t="shared" si="20"/>
        <v>19424175.095832113</v>
      </c>
      <c r="AF72" s="226">
        <f t="shared" si="20"/>
        <v>20323172.412006736</v>
      </c>
      <c r="AG72" s="226">
        <f t="shared" si="20"/>
        <v>21258129.620828338</v>
      </c>
    </row>
    <row r="73" spans="1:33" s="228" customFormat="1" ht="16.5" thickBot="1" x14ac:dyDescent="0.25">
      <c r="A73" s="218"/>
      <c r="B73" s="227">
        <f t="shared" ref="B73:AG73" si="21">B122</f>
        <v>0</v>
      </c>
      <c r="C73" s="227">
        <f t="shared" si="21"/>
        <v>0</v>
      </c>
      <c r="D73" s="227">
        <f t="shared" si="21"/>
        <v>0</v>
      </c>
      <c r="E73" s="227">
        <f t="shared" si="21"/>
        <v>0.5</v>
      </c>
      <c r="F73" s="227">
        <f t="shared" si="21"/>
        <v>1.5</v>
      </c>
      <c r="G73" s="227">
        <f t="shared" si="21"/>
        <v>2.5</v>
      </c>
      <c r="H73" s="227">
        <f t="shared" si="21"/>
        <v>3.5</v>
      </c>
      <c r="I73" s="227">
        <f t="shared" si="21"/>
        <v>4.5</v>
      </c>
      <c r="J73" s="227">
        <f t="shared" si="21"/>
        <v>5.5</v>
      </c>
      <c r="K73" s="227">
        <f t="shared" si="21"/>
        <v>6.5</v>
      </c>
      <c r="L73" s="227">
        <f t="shared" si="21"/>
        <v>7.5</v>
      </c>
      <c r="M73" s="227">
        <f t="shared" si="21"/>
        <v>8.5</v>
      </c>
      <c r="N73" s="227">
        <f t="shared" si="21"/>
        <v>9.5</v>
      </c>
      <c r="O73" s="227">
        <f t="shared" si="21"/>
        <v>10.5</v>
      </c>
      <c r="P73" s="227">
        <f t="shared" si="21"/>
        <v>11.5</v>
      </c>
      <c r="Q73" s="227">
        <f t="shared" si="21"/>
        <v>12.5</v>
      </c>
      <c r="R73" s="227">
        <f t="shared" si="21"/>
        <v>13.5</v>
      </c>
      <c r="S73" s="227">
        <f t="shared" si="21"/>
        <v>14.5</v>
      </c>
      <c r="T73" s="227">
        <f t="shared" si="21"/>
        <v>15.5</v>
      </c>
      <c r="U73" s="227">
        <f t="shared" si="21"/>
        <v>16.5</v>
      </c>
      <c r="V73" s="227">
        <f t="shared" si="21"/>
        <v>17.5</v>
      </c>
      <c r="W73" s="227">
        <f t="shared" si="21"/>
        <v>18.5</v>
      </c>
      <c r="X73" s="227">
        <f t="shared" si="21"/>
        <v>19.5</v>
      </c>
      <c r="Y73" s="227">
        <f t="shared" si="21"/>
        <v>20.5</v>
      </c>
      <c r="Z73" s="227">
        <f t="shared" si="21"/>
        <v>21.5</v>
      </c>
      <c r="AA73" s="227">
        <f t="shared" si="21"/>
        <v>22.5</v>
      </c>
      <c r="AB73" s="227">
        <f t="shared" si="21"/>
        <v>23.5</v>
      </c>
      <c r="AC73" s="227">
        <f t="shared" si="21"/>
        <v>24.5</v>
      </c>
      <c r="AD73" s="227">
        <f t="shared" si="21"/>
        <v>25.5</v>
      </c>
      <c r="AE73" s="227">
        <f t="shared" si="21"/>
        <v>26.5</v>
      </c>
      <c r="AF73" s="227">
        <f t="shared" si="21"/>
        <v>27.5</v>
      </c>
      <c r="AG73" s="227">
        <f t="shared" si="21"/>
        <v>28.5</v>
      </c>
    </row>
    <row r="74" spans="1:33" x14ac:dyDescent="0.2">
      <c r="A74" s="213" t="s">
        <v>308</v>
      </c>
      <c r="B74" s="214">
        <f t="shared" ref="B74:AG74" si="22">B58</f>
        <v>1</v>
      </c>
      <c r="C74" s="214">
        <f t="shared" si="22"/>
        <v>2</v>
      </c>
      <c r="D74" s="214">
        <f t="shared" si="22"/>
        <v>3</v>
      </c>
      <c r="E74" s="214">
        <f t="shared" si="22"/>
        <v>4</v>
      </c>
      <c r="F74" s="214">
        <f t="shared" si="22"/>
        <v>5</v>
      </c>
      <c r="G74" s="214">
        <f t="shared" si="22"/>
        <v>6</v>
      </c>
      <c r="H74" s="214">
        <f t="shared" si="22"/>
        <v>7</v>
      </c>
      <c r="I74" s="214">
        <f t="shared" si="22"/>
        <v>8</v>
      </c>
      <c r="J74" s="214">
        <f t="shared" si="22"/>
        <v>9</v>
      </c>
      <c r="K74" s="214">
        <f t="shared" si="22"/>
        <v>10</v>
      </c>
      <c r="L74" s="214">
        <f t="shared" si="22"/>
        <v>11</v>
      </c>
      <c r="M74" s="214">
        <f t="shared" si="22"/>
        <v>12</v>
      </c>
      <c r="N74" s="214">
        <f t="shared" si="22"/>
        <v>13</v>
      </c>
      <c r="O74" s="214">
        <f t="shared" si="22"/>
        <v>14</v>
      </c>
      <c r="P74" s="214">
        <f t="shared" si="22"/>
        <v>15</v>
      </c>
      <c r="Q74" s="214">
        <f t="shared" si="22"/>
        <v>16</v>
      </c>
      <c r="R74" s="214">
        <f t="shared" si="22"/>
        <v>17</v>
      </c>
      <c r="S74" s="214">
        <f t="shared" si="22"/>
        <v>18</v>
      </c>
      <c r="T74" s="214">
        <f t="shared" si="22"/>
        <v>19</v>
      </c>
      <c r="U74" s="214">
        <f t="shared" si="22"/>
        <v>20</v>
      </c>
      <c r="V74" s="214">
        <f t="shared" si="22"/>
        <v>21</v>
      </c>
      <c r="W74" s="214">
        <f t="shared" si="22"/>
        <v>22</v>
      </c>
      <c r="X74" s="214">
        <f t="shared" si="22"/>
        <v>23</v>
      </c>
      <c r="Y74" s="214">
        <f t="shared" si="22"/>
        <v>24</v>
      </c>
      <c r="Z74" s="214">
        <f t="shared" si="22"/>
        <v>25</v>
      </c>
      <c r="AA74" s="214">
        <f t="shared" si="22"/>
        <v>26</v>
      </c>
      <c r="AB74" s="214">
        <f t="shared" si="22"/>
        <v>27</v>
      </c>
      <c r="AC74" s="214">
        <f t="shared" si="22"/>
        <v>28</v>
      </c>
      <c r="AD74" s="214">
        <f t="shared" si="22"/>
        <v>29</v>
      </c>
      <c r="AE74" s="214">
        <f t="shared" si="22"/>
        <v>30</v>
      </c>
      <c r="AF74" s="214">
        <f t="shared" si="22"/>
        <v>31</v>
      </c>
      <c r="AG74" s="214">
        <f t="shared" si="22"/>
        <v>32</v>
      </c>
    </row>
    <row r="75" spans="1:33" ht="28.5" x14ac:dyDescent="0.2">
      <c r="A75" s="221" t="s">
        <v>307</v>
      </c>
      <c r="B75" s="256">
        <f t="shared" ref="B75:AG75" si="23">B68</f>
        <v>110557842.53</v>
      </c>
      <c r="C75" s="256">
        <f t="shared" si="23"/>
        <v>18026809.812651999</v>
      </c>
      <c r="D75" s="256">
        <f>D68</f>
        <v>-1940760.1408186671</v>
      </c>
      <c r="E75" s="256">
        <f t="shared" si="23"/>
        <v>6098341.3039833363</v>
      </c>
      <c r="F75" s="256">
        <f t="shared" si="23"/>
        <v>10347907.261494601</v>
      </c>
      <c r="G75" s="256">
        <f t="shared" si="23"/>
        <v>6969072.1058107093</v>
      </c>
      <c r="H75" s="256">
        <f t="shared" si="23"/>
        <v>7432720.4385692365</v>
      </c>
      <c r="I75" s="256">
        <f t="shared" si="23"/>
        <v>7927551.8173356168</v>
      </c>
      <c r="J75" s="256">
        <f t="shared" si="23"/>
        <v>8444155.7767677177</v>
      </c>
      <c r="K75" s="256">
        <f t="shared" si="23"/>
        <v>8971232.7073773965</v>
      </c>
      <c r="L75" s="256">
        <f t="shared" si="23"/>
        <v>9508189.2660352439</v>
      </c>
      <c r="M75" s="256">
        <f t="shared" si="23"/>
        <v>10054376.363630023</v>
      </c>
      <c r="N75" s="256">
        <f t="shared" si="23"/>
        <v>10609089.30860189</v>
      </c>
      <c r="O75" s="256">
        <f t="shared" si="23"/>
        <v>11185990.771372631</v>
      </c>
      <c r="P75" s="256">
        <f t="shared" si="23"/>
        <v>11785968.292654205</v>
      </c>
      <c r="Q75" s="256">
        <f t="shared" si="23"/>
        <v>12409944.914787041</v>
      </c>
      <c r="R75" s="256">
        <f t="shared" si="23"/>
        <v>13058880.601805193</v>
      </c>
      <c r="S75" s="256">
        <f t="shared" si="23"/>
        <v>13733773.716304062</v>
      </c>
      <c r="T75" s="256">
        <f t="shared" si="23"/>
        <v>14435662.555382891</v>
      </c>
      <c r="U75" s="256">
        <f t="shared" si="23"/>
        <v>15165626.948024878</v>
      </c>
      <c r="V75" s="256">
        <f t="shared" si="23"/>
        <v>15924789.916372539</v>
      </c>
      <c r="W75" s="256">
        <f t="shared" si="23"/>
        <v>16714319.403454112</v>
      </c>
      <c r="X75" s="256">
        <f t="shared" si="23"/>
        <v>17535430.070018943</v>
      </c>
      <c r="Y75" s="256">
        <f t="shared" si="23"/>
        <v>18389385.163246367</v>
      </c>
      <c r="Z75" s="256">
        <f t="shared" si="23"/>
        <v>19277498.460202884</v>
      </c>
      <c r="AA75" s="256">
        <f t="shared" si="23"/>
        <v>20201136.289037671</v>
      </c>
      <c r="AB75" s="256">
        <f t="shared" si="23"/>
        <v>21161719.631025851</v>
      </c>
      <c r="AC75" s="256">
        <f t="shared" si="23"/>
        <v>22160726.30669355</v>
      </c>
      <c r="AD75" s="256">
        <f t="shared" si="23"/>
        <v>23199693.249387953</v>
      </c>
      <c r="AE75" s="256">
        <f t="shared" si="23"/>
        <v>24280218.869790141</v>
      </c>
      <c r="AF75" s="256">
        <f t="shared" si="23"/>
        <v>25403965.51500842</v>
      </c>
      <c r="AG75" s="256">
        <f t="shared" si="23"/>
        <v>26572662.026035424</v>
      </c>
    </row>
    <row r="76" spans="1:33" x14ac:dyDescent="0.2">
      <c r="A76" s="222" t="s">
        <v>306</v>
      </c>
      <c r="B76" s="255">
        <f t="shared" ref="B76:AG76" si="24">-B67</f>
        <v>0</v>
      </c>
      <c r="C76" s="255">
        <f>-C67</f>
        <v>0</v>
      </c>
      <c r="D76" s="255">
        <f t="shared" si="24"/>
        <v>3813447.260666667</v>
      </c>
      <c r="E76" s="255">
        <f t="shared" si="24"/>
        <v>3813447.260666667</v>
      </c>
      <c r="F76" s="255">
        <f>-C67</f>
        <v>0</v>
      </c>
      <c r="G76" s="255">
        <f t="shared" si="24"/>
        <v>3813447.260666667</v>
      </c>
      <c r="H76" s="255">
        <f t="shared" si="24"/>
        <v>3813447.260666667</v>
      </c>
      <c r="I76" s="255">
        <f t="shared" si="24"/>
        <v>3813447.260666667</v>
      </c>
      <c r="J76" s="255">
        <f t="shared" si="24"/>
        <v>3813447.260666667</v>
      </c>
      <c r="K76" s="255">
        <f t="shared" si="24"/>
        <v>3813447.260666667</v>
      </c>
      <c r="L76" s="255">
        <f>-L67</f>
        <v>3813447.260666667</v>
      </c>
      <c r="M76" s="255">
        <f>-M67</f>
        <v>3813447.260666667</v>
      </c>
      <c r="N76" s="255">
        <f t="shared" si="24"/>
        <v>3813447.260666667</v>
      </c>
      <c r="O76" s="255">
        <f t="shared" si="24"/>
        <v>3813447.260666667</v>
      </c>
      <c r="P76" s="255">
        <f t="shared" si="24"/>
        <v>3813447.260666667</v>
      </c>
      <c r="Q76" s="255">
        <f t="shared" si="24"/>
        <v>3813447.260666667</v>
      </c>
      <c r="R76" s="255">
        <f t="shared" si="24"/>
        <v>3813447.260666667</v>
      </c>
      <c r="S76" s="255">
        <f t="shared" si="24"/>
        <v>3813447.260666667</v>
      </c>
      <c r="T76" s="255">
        <f t="shared" si="24"/>
        <v>3813447.260666667</v>
      </c>
      <c r="U76" s="255">
        <f t="shared" si="24"/>
        <v>3813447.260666667</v>
      </c>
      <c r="V76" s="255">
        <f t="shared" si="24"/>
        <v>3813447.260666667</v>
      </c>
      <c r="W76" s="255">
        <f t="shared" si="24"/>
        <v>3813447.260666667</v>
      </c>
      <c r="X76" s="255">
        <f t="shared" si="24"/>
        <v>3813447.260666667</v>
      </c>
      <c r="Y76" s="255">
        <f t="shared" si="24"/>
        <v>3813447.260666667</v>
      </c>
      <c r="Z76" s="255">
        <f t="shared" si="24"/>
        <v>3813447.260666667</v>
      </c>
      <c r="AA76" s="255">
        <f t="shared" si="24"/>
        <v>3813447.260666667</v>
      </c>
      <c r="AB76" s="255">
        <f t="shared" si="24"/>
        <v>3813447.260666667</v>
      </c>
      <c r="AC76" s="255">
        <f t="shared" si="24"/>
        <v>3813447.260666667</v>
      </c>
      <c r="AD76" s="255">
        <f t="shared" si="24"/>
        <v>3813447.260666667</v>
      </c>
      <c r="AE76" s="255">
        <f t="shared" si="24"/>
        <v>3813447.260666667</v>
      </c>
      <c r="AF76" s="255">
        <f t="shared" si="24"/>
        <v>3813447.260666667</v>
      </c>
      <c r="AG76" s="255">
        <f t="shared" si="24"/>
        <v>3813447.260666667</v>
      </c>
    </row>
    <row r="77" spans="1:33" x14ac:dyDescent="0.2">
      <c r="A77" s="222" t="s">
        <v>305</v>
      </c>
      <c r="B77" s="255">
        <f t="shared" ref="B77:AG77" si="25">B69</f>
        <v>0</v>
      </c>
      <c r="C77" s="255">
        <f t="shared" si="25"/>
        <v>0</v>
      </c>
      <c r="D77" s="255">
        <f t="shared" si="25"/>
        <v>0</v>
      </c>
      <c r="E77" s="255">
        <f t="shared" si="25"/>
        <v>0</v>
      </c>
      <c r="F77" s="255">
        <f t="shared" si="25"/>
        <v>0</v>
      </c>
      <c r="G77" s="255">
        <f t="shared" si="25"/>
        <v>0</v>
      </c>
      <c r="H77" s="255">
        <f t="shared" si="25"/>
        <v>0</v>
      </c>
      <c r="I77" s="255">
        <f t="shared" si="25"/>
        <v>0</v>
      </c>
      <c r="J77" s="255">
        <f t="shared" si="25"/>
        <v>0</v>
      </c>
      <c r="K77" s="255">
        <f t="shared" si="25"/>
        <v>0</v>
      </c>
      <c r="L77" s="255">
        <f t="shared" si="25"/>
        <v>0</v>
      </c>
      <c r="M77" s="255">
        <f t="shared" si="25"/>
        <v>0</v>
      </c>
      <c r="N77" s="255">
        <f t="shared" si="25"/>
        <v>0</v>
      </c>
      <c r="O77" s="255">
        <f t="shared" si="25"/>
        <v>0</v>
      </c>
      <c r="P77" s="255">
        <f t="shared" si="25"/>
        <v>0</v>
      </c>
      <c r="Q77" s="255">
        <f t="shared" si="25"/>
        <v>0</v>
      </c>
      <c r="R77" s="255">
        <f t="shared" si="25"/>
        <v>0</v>
      </c>
      <c r="S77" s="255">
        <f t="shared" si="25"/>
        <v>0</v>
      </c>
      <c r="T77" s="255">
        <f t="shared" si="25"/>
        <v>0</v>
      </c>
      <c r="U77" s="255">
        <f t="shared" si="25"/>
        <v>0</v>
      </c>
      <c r="V77" s="255">
        <f t="shared" si="25"/>
        <v>0</v>
      </c>
      <c r="W77" s="255">
        <f t="shared" si="25"/>
        <v>0</v>
      </c>
      <c r="X77" s="255">
        <f t="shared" si="25"/>
        <v>0</v>
      </c>
      <c r="Y77" s="255">
        <f t="shared" si="25"/>
        <v>0</v>
      </c>
      <c r="Z77" s="255">
        <f t="shared" si="25"/>
        <v>0</v>
      </c>
      <c r="AA77" s="255">
        <f t="shared" si="25"/>
        <v>0</v>
      </c>
      <c r="AB77" s="255">
        <f t="shared" si="25"/>
        <v>0</v>
      </c>
      <c r="AC77" s="255">
        <f t="shared" si="25"/>
        <v>0</v>
      </c>
      <c r="AD77" s="255">
        <f t="shared" si="25"/>
        <v>0</v>
      </c>
      <c r="AE77" s="255">
        <f t="shared" si="25"/>
        <v>0</v>
      </c>
      <c r="AF77" s="255">
        <f t="shared" si="25"/>
        <v>0</v>
      </c>
      <c r="AG77" s="255">
        <f t="shared" si="25"/>
        <v>0</v>
      </c>
    </row>
    <row r="78" spans="1:33" x14ac:dyDescent="0.2">
      <c r="A78" s="222" t="s">
        <v>304</v>
      </c>
      <c r="B78" s="255">
        <f>IF(SUM($B$71:B71)+SUM($A$78:A78)&gt;0,0,SUM($B$71:B71)-SUM($A$78:A78))</f>
        <v>-22111568.506000001</v>
      </c>
      <c r="C78" s="255">
        <f>IF(SUM($B$71:C71)+SUM($A$78:B78)&gt;0,0,SUM($B$71:C71)-SUM($A$78:B78))</f>
        <v>-3605361.9625304006</v>
      </c>
      <c r="D78" s="255">
        <f>IF(SUM($B$71:D71)+SUM($A$78:C78)&gt;0,0,SUM($B$71:D71)-SUM($A$78:C78))</f>
        <v>388152.02816373482</v>
      </c>
      <c r="E78" s="255">
        <f>IF(SUM($B$71:E71)+SUM($A$78:D78)&gt;0,0,SUM($B$71:E71)-SUM($A$78:D78))</f>
        <v>-1219668.2607966661</v>
      </c>
      <c r="F78" s="255">
        <f>IF(SUM($B$71:F71)+SUM($A$78:E78)&gt;0,0,SUM($B$71:F71)-SUM($A$78:E78))</f>
        <v>-2069581.4522989206</v>
      </c>
      <c r="G78" s="255">
        <f>IF(SUM($B$71:G71)+SUM($A$78:F78)&gt;0,0,SUM($B$71:G71)-SUM($A$78:F78))</f>
        <v>-1393814.4211621433</v>
      </c>
      <c r="H78" s="255">
        <f>IF(SUM($B$71:H71)+SUM($A$78:G78)&gt;0,0,SUM($B$71:H71)-SUM($A$78:G78))</f>
        <v>-1486544.0877138488</v>
      </c>
      <c r="I78" s="255">
        <f>IF(SUM($B$71:I71)+SUM($A$78:H78)&gt;0,0,SUM($B$71:I71)-SUM($A$78:H78))</f>
        <v>-1585510.3634671234</v>
      </c>
      <c r="J78" s="255">
        <f>IF(SUM($B$71:J71)+SUM($A$78:I78)&gt;0,0,SUM($B$71:J71)-SUM($A$78:I78))</f>
        <v>-1688831.1553535461</v>
      </c>
      <c r="K78" s="255">
        <f>IF(SUM($B$71:K71)+SUM($A$78:J78)&gt;0,0,SUM($B$71:K71)-SUM($A$78:J78))</f>
        <v>-1794246.5414754823</v>
      </c>
      <c r="L78" s="255">
        <f>IF(SUM($B$71:L71)+SUM($A$78:K78)&gt;0,0,SUM($B$71:L71)-SUM($A$78:K78))</f>
        <v>-1901637.8532070518</v>
      </c>
      <c r="M78" s="255">
        <f>IF(SUM($B$71:M71)+SUM($A$78:L78)&gt;0,0,SUM($B$71:M71)-SUM($A$78:L78))</f>
        <v>-2010875.2727260068</v>
      </c>
      <c r="N78" s="255">
        <f>IF(SUM($B$71:N71)+SUM($A$78:M78)&gt;0,0,SUM($B$71:N71)-SUM($A$78:M78))</f>
        <v>-2121817.8617203757</v>
      </c>
      <c r="O78" s="255">
        <f>IF(SUM($B$71:O71)+SUM($A$78:N78)&gt;0,0,SUM($B$71:O71)-SUM($A$78:N78))</f>
        <v>-2237198.1542745233</v>
      </c>
      <c r="P78" s="255">
        <f>IF(SUM($B$71:P71)+SUM($A$78:O78)&gt;0,0,SUM($B$71:P71)-SUM($A$78:O78))</f>
        <v>-2357193.6585308388</v>
      </c>
      <c r="Q78" s="255">
        <f>IF(SUM($B$71:Q71)+SUM($A$78:P78)&gt;0,0,SUM($B$71:Q71)-SUM($A$78:P78))</f>
        <v>-2481988.9829574078</v>
      </c>
      <c r="R78" s="255">
        <f>IF(SUM($B$71:R71)+SUM($A$78:Q78)&gt;0,0,SUM($B$71:R71)-SUM($A$78:Q78))</f>
        <v>-2611776.1203610376</v>
      </c>
      <c r="S78" s="255">
        <f>IF(SUM($B$71:S71)+SUM($A$78:R78)&gt;0,0,SUM($B$71:S71)-SUM($A$78:R78))</f>
        <v>-2746754.7432608157</v>
      </c>
      <c r="T78" s="255">
        <f>IF(SUM($B$71:T71)+SUM($A$78:S78)&gt;0,0,SUM($B$71:T71)-SUM($A$78:S78))</f>
        <v>-2887132.511076577</v>
      </c>
      <c r="U78" s="255">
        <f>IF(SUM($B$71:U71)+SUM($A$78:T78)&gt;0,0,SUM($B$71:U71)-SUM($A$78:T78))</f>
        <v>-3033125.3896049783</v>
      </c>
      <c r="V78" s="255">
        <f>IF(SUM($B$71:V71)+SUM($A$78:U78)&gt;0,0,SUM($B$71:V71)-SUM($A$78:U78))</f>
        <v>-3184957.983274512</v>
      </c>
      <c r="W78" s="255">
        <f>IF(SUM($B$71:W71)+SUM($A$78:V78)&gt;0,0,SUM($B$71:W71)-SUM($A$78:V78))</f>
        <v>-3342863.880690828</v>
      </c>
      <c r="X78" s="255">
        <f>IF(SUM($B$71:X71)+SUM($A$78:W78)&gt;0,0,SUM($B$71:X71)-SUM($A$78:W78))</f>
        <v>-3507086.0140037835</v>
      </c>
      <c r="Y78" s="255">
        <f>IF(SUM($B$71:Y71)+SUM($A$78:X78)&gt;0,0,SUM($B$71:Y71)-SUM($A$78:X78))</f>
        <v>-3677877.0326492786</v>
      </c>
      <c r="Z78" s="255">
        <f>IF(SUM($B$71:Z71)+SUM($A$78:Y78)&gt;0,0,SUM($B$71:Z71)-SUM($A$78:Y78))</f>
        <v>-3855499.6920405775</v>
      </c>
      <c r="AA78" s="255">
        <f>IF(SUM($B$71:AA71)+SUM($A$78:Z78)&gt;0,0,SUM($B$71:AA71)-SUM($A$78:Z78))</f>
        <v>-4040227.2578075379</v>
      </c>
      <c r="AB78" s="255">
        <f>IF(SUM($B$71:AB71)+SUM($A$78:AA78)&gt;0,0,SUM($B$71:AB71)-SUM($A$78:AA78))</f>
        <v>-4232343.9262051731</v>
      </c>
      <c r="AC78" s="255">
        <f>IF(SUM($B$71:AC71)+SUM($A$78:AB78)&gt;0,0,SUM($B$71:AC71)-SUM($A$78:AB78))</f>
        <v>-4432145.2613387108</v>
      </c>
      <c r="AD78" s="255">
        <f>IF(SUM($B$71:AD71)+SUM($A$78:AC78)&gt;0,0,SUM($B$71:AD71)-SUM($A$78:AC78))</f>
        <v>-4639938.6498775929</v>
      </c>
      <c r="AE78" s="255">
        <f>IF(SUM($B$71:AE71)+SUM($A$78:AD78)&gt;0,0,SUM($B$71:AE71)-SUM($A$78:AD78))</f>
        <v>-4856043.7739580274</v>
      </c>
      <c r="AF78" s="255">
        <f>IF(SUM($B$71:AF71)+SUM($A$78:AE78)&gt;0,0,SUM($B$71:AF71)-SUM($A$78:AE78))</f>
        <v>-5080793.103001684</v>
      </c>
      <c r="AG78" s="255">
        <f>IF(SUM($B$71:AG71)+SUM($A$78:AF78)&gt;0,0,SUM($B$71:AG71)-SUM($A$78:AF78))</f>
        <v>-5314532.4052070826</v>
      </c>
    </row>
    <row r="79" spans="1:33" x14ac:dyDescent="0.2">
      <c r="A79" s="222" t="s">
        <v>303</v>
      </c>
      <c r="B79" s="255">
        <v>0</v>
      </c>
      <c r="C79" s="255">
        <f>IF(((SUM($B$59:C59)+SUM($B$61:C64))+SUM($B$81:C81))&lt;0,((SUM($B$59:C59)+SUM($B$61:C64))+SUM($B$81:C81))*0.18-SUM($A$79:B79),IF(SUM($B$79:B79)&lt;0,0-SUM($B$79:B79),0))</f>
        <v>0</v>
      </c>
      <c r="D79" s="255">
        <f>IF(((SUM($B$59:D59)+SUM($B$61:D64))+SUM($B$81:D81))&lt;0,((SUM($B$59:D59)+SUM($B$61:D64))+SUM($B$81:D81))*0.18-SUM($A$79:C79),IF(SUM($B$79:C79)&lt;0,0-SUM($B$79:C79),0))</f>
        <v>0</v>
      </c>
      <c r="E79" s="255">
        <f>IF(((SUM($B$59:E59)+SUM($B$61:E64))+SUM($B$81:E81))&lt;0,((SUM($B$59:E59)+SUM($B$61:E64))+SUM($B$81:E81))*0.18-SUM($A$79:D79),IF(SUM($B$79:D79)&lt;0,0-SUM($B$79:D79),0))</f>
        <v>0</v>
      </c>
      <c r="F79" s="255">
        <f>IF(((SUM($B$59:F59)+SUM($B$61:F64))+SUM($B$81:F81))&lt;0,((SUM($B$59:F59)+SUM($B$61:F64))+SUM($B$81:F81))*0.18-SUM($A$79:E79),IF(SUM($B$79:E79)&lt;0,0-SUM($B$79:E79),0))</f>
        <v>0</v>
      </c>
      <c r="G79" s="255">
        <f>IF(((SUM($B$59:G59)+SUM($B$61:G64))+SUM($B$81:G81))&lt;0,((SUM($B$59:G59)+SUM($B$61:G64))+SUM($B$81:G81))*0.18-SUM($A$79:F79),IF(SUM($B$79:F79)&lt;0,0-SUM($B$79:F79),0))</f>
        <v>0</v>
      </c>
      <c r="H79" s="255">
        <f>IF(((SUM($B$59:H59)+SUM($B$61:H64))+SUM($B$81:H81))&lt;0,((SUM($B$59:H59)+SUM($B$61:H64))+SUM($B$81:H81))*0.18-SUM($A$79:G79),IF(SUM($B$79:G79)&lt;0,0-SUM($B$79:G79),0))</f>
        <v>0</v>
      </c>
      <c r="I79" s="255">
        <f>IF(((SUM($B$59:I59)+SUM($B$61:I64))+SUM($B$81:I81))&lt;0,((SUM($B$59:I59)+SUM($B$61:I64))+SUM($B$81:I81))*0.18-SUM($A$79:H79),IF(SUM($B$79:H79)&lt;0,0-SUM($B$79:H79),0))</f>
        <v>0</v>
      </c>
      <c r="J79" s="255">
        <f>IF(((SUM($B$59:J59)+SUM($B$61:J64))+SUM($B$81:J81))&lt;0,((SUM($B$59:J59)+SUM($B$61:J64))+SUM($B$81:J81))*0.18-SUM($A$79:I79),IF(SUM($B$79:I79)&lt;0,0-SUM($B$79:I79),0))</f>
        <v>0</v>
      </c>
      <c r="K79" s="255">
        <f>IF(((SUM($B$59:K59)+SUM($B$61:K64))+SUM($B$81:K81))&lt;0,((SUM($B$59:K59)+SUM($B$61:K64))+SUM($B$81:K81))*0.18-SUM($A$79:J79),IF(SUM($B$79:J79)&lt;0,0-SUM($B$79:J79),0))</f>
        <v>0</v>
      </c>
      <c r="L79" s="255">
        <f>IF(((SUM($B$59:L59)+SUM($B$61:L64))+SUM($B$81:L81))&lt;0,((SUM($B$59:L59)+SUM($B$61:L64))+SUM($B$81:L81))*0.18-SUM($A$79:K79),IF(SUM($B$79:K79)&lt;0,0-SUM($B$79:K79),0))</f>
        <v>0</v>
      </c>
      <c r="M79" s="255">
        <f>IF(((SUM($B$59:M59)+SUM($B$61:M64))+SUM($B$81:M81))&lt;0,((SUM($B$59:M59)+SUM($B$61:M64))+SUM($B$81:M81))*0.18-SUM($A$79:L79),IF(SUM($B$79:L79)&lt;0,0-SUM($B$79:L79),0))</f>
        <v>0</v>
      </c>
      <c r="N79" s="255">
        <f>IF(((SUM($B$59:N59)+SUM($B$61:N64))+SUM($B$81:N81))&lt;0,((SUM($B$59:N59)+SUM($B$61:N64))+SUM($B$81:N81))*0.18-SUM($A$79:M79),IF(SUM($B$79:M79)&lt;0,0-SUM($B$79:M79),0))</f>
        <v>0</v>
      </c>
      <c r="O79" s="255">
        <f>IF(((SUM($B$59:O59)+SUM($B$61:O64))+SUM($B$81:O81))&lt;0,((SUM($B$59:O59)+SUM($B$61:O64))+SUM($B$81:O81))*0.18-SUM($A$79:N79),IF(SUM($B$79:N79)&lt;0,0-SUM($B$79:N79),0))</f>
        <v>0</v>
      </c>
      <c r="P79" s="255">
        <f>IF(((SUM($B$59:P59)+SUM($B$61:P64))+SUM($B$81:P81))&lt;0,((SUM($B$59:P59)+SUM($B$61:P64))+SUM($B$81:P81))*0.18-SUM($A$79:O79),IF(SUM($B$79:O79)&lt;0,0-SUM($B$79:O79),0))</f>
        <v>0</v>
      </c>
      <c r="Q79" s="255">
        <f>IF(((SUM($B$59:Q59)+SUM($B$61:Q64))+SUM($B$81:Q81))&lt;0,((SUM($B$59:Q59)+SUM($B$61:Q64))+SUM($B$81:Q81))*0.18-SUM($A$79:P79),IF(SUM($B$79:P79)&lt;0,0-SUM($B$79:P79),0))</f>
        <v>0</v>
      </c>
      <c r="R79" s="255">
        <f>IF(((SUM($B$59:R59)+SUM($B$61:R64))+SUM($B$81:R81))&lt;0,((SUM($B$59:R59)+SUM($B$61:R64))+SUM($B$81:R81))*0.18-SUM($A$79:Q79),IF(SUM($B$79:Q79)&lt;0,0-SUM($B$79:Q79),0))</f>
        <v>0</v>
      </c>
      <c r="S79" s="255">
        <f>IF(((SUM($B$59:S59)+SUM($B$61:S64))+SUM($B$81:S81))&lt;0,((SUM($B$59:S59)+SUM($B$61:S64))+SUM($B$81:S81))*0.18-SUM($A$79:R79),IF(SUM($B$79:R79)&lt;0,0-SUM($B$79:R79),0))</f>
        <v>0</v>
      </c>
      <c r="T79" s="255">
        <f>IF(((SUM($B$59:T59)+SUM($B$61:T64))+SUM($B$81:T81))&lt;0,((SUM($B$59:T59)+SUM($B$61:T64))+SUM($B$81:T81))*0.18-SUM($A$79:S79),IF(SUM($B$79:S79)&lt;0,0-SUM($B$79:S79),0))</f>
        <v>0</v>
      </c>
      <c r="U79" s="255">
        <f>IF(((SUM($B$59:U59)+SUM($B$61:U64))+SUM($B$81:U81))&lt;0,((SUM($B$59:U59)+SUM($B$61:U64))+SUM($B$81:U81))*0.18-SUM($A$79:T79),IF(SUM($B$79:T79)&lt;0,0-SUM($B$79:T79),0))</f>
        <v>0</v>
      </c>
      <c r="V79" s="255">
        <f>IF(((SUM($B$59:V59)+SUM($B$61:V64))+SUM($B$81:V81))&lt;0,((SUM($B$59:V59)+SUM($B$61:V64))+SUM($B$81:V81))*0.18-SUM($A$79:U79),IF(SUM($B$79:U79)&lt;0,0-SUM($B$79:U79),0))</f>
        <v>0</v>
      </c>
      <c r="W79" s="255">
        <f>IF(((SUM($B$59:W59)+SUM($B$61:W64))+SUM($B$81:W81))&lt;0,((SUM($B$59:W59)+SUM($B$61:W64))+SUM($B$81:W81))*0.18-SUM($A$79:V79),IF(SUM($B$79:V79)&lt;0,0-SUM($B$79:V79),0))</f>
        <v>0</v>
      </c>
      <c r="X79" s="255">
        <f>IF(((SUM($B$59:X59)+SUM($B$61:X64))+SUM($B$81:X81))&lt;0,((SUM($B$59:X59)+SUM($B$61:X64))+SUM($B$81:X81))*0.18-SUM($A$79:W79),IF(SUM($B$79:W79)&lt;0,0-SUM($B$79:W79),0))</f>
        <v>0</v>
      </c>
      <c r="Y79" s="255">
        <f>IF(((SUM($B$59:Y59)+SUM($B$61:Y64))+SUM($B$81:Y81))&lt;0,((SUM($B$59:Y59)+SUM($B$61:Y64))+SUM($B$81:Y81))*0.18-SUM($A$79:X79),IF(SUM($B$79:X79)&lt;0,0-SUM($B$79:X79),0))</f>
        <v>0</v>
      </c>
      <c r="Z79" s="255">
        <f>IF(((SUM($B$59:Z59)+SUM($B$61:Z64))+SUM($B$81:Z81))&lt;0,((SUM($B$59:Z59)+SUM($B$61:Z64))+SUM($B$81:Z81))*0.18-SUM($A$79:Y79),IF(SUM($B$79:Y79)&lt;0,0-SUM($B$79:Y79),0))</f>
        <v>0</v>
      </c>
      <c r="AA79" s="255">
        <f>IF(((SUM($B$59:AA59)+SUM($B$61:AA64))+SUM($B$81:AA81))&lt;0,((SUM($B$59:AA59)+SUM($B$61:AA64))+SUM($B$81:AA81))*0.18-SUM($A$79:Z79),IF(SUM($B$79:Z79)&lt;0,0-SUM($B$79:Z79),0))</f>
        <v>0</v>
      </c>
      <c r="AB79" s="255">
        <f>IF(((SUM($B$59:AB59)+SUM($B$61:AB64))+SUM($B$81:AB81))&lt;0,((SUM($B$59:AB59)+SUM($B$61:AB64))+SUM($B$81:AB81))*0.18-SUM($A$79:AA79),IF(SUM($B$79:AA79)&lt;0,0-SUM($B$79:AA79),0))</f>
        <v>0</v>
      </c>
      <c r="AC79" s="255">
        <f>IF(((SUM($B$59:AC59)+SUM($B$61:AC64))+SUM($B$81:AC81))&lt;0,((SUM($B$59:AC59)+SUM($B$61:AC64))+SUM($B$81:AC81))*0.18-SUM($A$79:AB79),IF(SUM($B$79:AB79)&lt;0,0-SUM($B$79:AB79),0))</f>
        <v>0</v>
      </c>
      <c r="AD79" s="255">
        <f>IF(((SUM($B$59:AD59)+SUM($B$61:AD64))+SUM($B$81:AD81))&lt;0,((SUM($B$59:AD59)+SUM($B$61:AD64))+SUM($B$81:AD81))*0.18-SUM($A$79:AC79),IF(SUM($B$79:AC79)&lt;0,0-SUM($B$79:AC79),0))</f>
        <v>0</v>
      </c>
      <c r="AE79" s="255">
        <f>IF(((SUM($B$59:AE59)+SUM($B$61:AE64))+SUM($B$81:AE81))&lt;0,((SUM($B$59:AE59)+SUM($B$61:AE64))+SUM($B$81:AE81))*0.18-SUM($A$79:AD79),IF(SUM($B$79:AD79)&lt;0,0-SUM($B$79:AD79),0))</f>
        <v>0</v>
      </c>
      <c r="AF79" s="255">
        <f>IF(((SUM($B$59:AF59)+SUM($B$61:AF64))+SUM($B$81:AF81))&lt;0,((SUM($B$59:AF59)+SUM($B$61:AF64))+SUM($B$81:AF81))*0.18-SUM($A$79:AE79),IF(SUM($B$79:AE79)&lt;0,0-SUM($B$79:AE79),0))</f>
        <v>0</v>
      </c>
      <c r="AG79" s="255">
        <f>IF(((SUM($B$59:AG59)+SUM($B$61:AG64))+SUM($B$81:AG81))&lt;0,((SUM($B$59:AG59)+SUM($B$61:AG64))+SUM($B$81:AG81))*0.18-SUM($A$79:AF79),IF(SUM($B$79:AF79)&lt;0,0-SUM($B$79:AF79),0))</f>
        <v>0</v>
      </c>
    </row>
    <row r="80" spans="1:33" x14ac:dyDescent="0.2">
      <c r="A80" s="222" t="s">
        <v>302</v>
      </c>
      <c r="B80" s="255">
        <f>-B59*(B39)</f>
        <v>0</v>
      </c>
      <c r="C80" s="255">
        <f t="shared" ref="C80:AG80" si="26">-(C59-B59)*$B$39</f>
        <v>0</v>
      </c>
      <c r="D80" s="255">
        <f t="shared" si="26"/>
        <v>0</v>
      </c>
      <c r="E80" s="255">
        <f t="shared" si="26"/>
        <v>0</v>
      </c>
      <c r="F80" s="255">
        <f t="shared" si="26"/>
        <v>0</v>
      </c>
      <c r="G80" s="255">
        <f t="shared" si="26"/>
        <v>0</v>
      </c>
      <c r="H80" s="255">
        <f t="shared" si="26"/>
        <v>0</v>
      </c>
      <c r="I80" s="255">
        <f t="shared" si="26"/>
        <v>0</v>
      </c>
      <c r="J80" s="255">
        <f t="shared" si="26"/>
        <v>0</v>
      </c>
      <c r="K80" s="255">
        <f t="shared" si="26"/>
        <v>0</v>
      </c>
      <c r="L80" s="255">
        <f t="shared" si="26"/>
        <v>0</v>
      </c>
      <c r="M80" s="255">
        <f t="shared" si="26"/>
        <v>0</v>
      </c>
      <c r="N80" s="255">
        <f t="shared" si="26"/>
        <v>0</v>
      </c>
      <c r="O80" s="255">
        <f t="shared" si="26"/>
        <v>0</v>
      </c>
      <c r="P80" s="255">
        <f t="shared" si="26"/>
        <v>0</v>
      </c>
      <c r="Q80" s="255">
        <f t="shared" si="26"/>
        <v>0</v>
      </c>
      <c r="R80" s="255">
        <f t="shared" si="26"/>
        <v>0</v>
      </c>
      <c r="S80" s="255">
        <f t="shared" si="26"/>
        <v>0</v>
      </c>
      <c r="T80" s="255">
        <f t="shared" si="26"/>
        <v>0</v>
      </c>
      <c r="U80" s="255">
        <f t="shared" si="26"/>
        <v>0</v>
      </c>
      <c r="V80" s="255">
        <f t="shared" si="26"/>
        <v>0</v>
      </c>
      <c r="W80" s="255">
        <f t="shared" si="26"/>
        <v>0</v>
      </c>
      <c r="X80" s="255">
        <f t="shared" si="26"/>
        <v>0</v>
      </c>
      <c r="Y80" s="255">
        <f t="shared" si="26"/>
        <v>0</v>
      </c>
      <c r="Z80" s="255">
        <f t="shared" si="26"/>
        <v>0</v>
      </c>
      <c r="AA80" s="255">
        <f t="shared" si="26"/>
        <v>0</v>
      </c>
      <c r="AB80" s="255">
        <f t="shared" si="26"/>
        <v>0</v>
      </c>
      <c r="AC80" s="255">
        <f t="shared" si="26"/>
        <v>0</v>
      </c>
      <c r="AD80" s="255">
        <f t="shared" si="26"/>
        <v>0</v>
      </c>
      <c r="AE80" s="255">
        <f t="shared" si="26"/>
        <v>0</v>
      </c>
      <c r="AF80" s="255">
        <f t="shared" si="26"/>
        <v>0</v>
      </c>
      <c r="AG80" s="255">
        <f t="shared" si="26"/>
        <v>0</v>
      </c>
    </row>
    <row r="81" spans="1:33" x14ac:dyDescent="0.2">
      <c r="A81" s="222" t="s">
        <v>534</v>
      </c>
      <c r="B81" s="255">
        <f>'6.2. Паспорт фин осв ввод'!K24*-1*1000000</f>
        <v>-2305292.9700000002</v>
      </c>
      <c r="C81" s="255">
        <f>'6.2. Паспорт фин осв ввод'!O24*-1*1000000</f>
        <v>-107786190.54000001</v>
      </c>
      <c r="D81" s="255">
        <f>'6.2. Паспорт фин осв ввод'!S24*-1*1000000</f>
        <v>-4311934.3099999996</v>
      </c>
      <c r="E81" s="255">
        <f>'6.2. Паспорт фин осв ввод'!W24*-1*1000000</f>
        <v>0</v>
      </c>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row>
    <row r="82" spans="1:33" x14ac:dyDescent="0.2">
      <c r="A82" s="222" t="s">
        <v>301</v>
      </c>
      <c r="B82" s="255">
        <f t="shared" ref="B82:AG82" si="27">B54-B55</f>
        <v>0</v>
      </c>
      <c r="C82" s="255">
        <f t="shared" si="27"/>
        <v>0</v>
      </c>
      <c r="D82" s="255">
        <f t="shared" si="27"/>
        <v>0</v>
      </c>
      <c r="E82" s="255">
        <f t="shared" si="27"/>
        <v>0</v>
      </c>
      <c r="F82" s="255">
        <f t="shared" si="27"/>
        <v>0</v>
      </c>
      <c r="G82" s="255">
        <f t="shared" si="27"/>
        <v>0</v>
      </c>
      <c r="H82" s="255">
        <f t="shared" si="27"/>
        <v>0</v>
      </c>
      <c r="I82" s="255">
        <f t="shared" si="27"/>
        <v>0</v>
      </c>
      <c r="J82" s="255">
        <f t="shared" si="27"/>
        <v>0</v>
      </c>
      <c r="K82" s="255">
        <f t="shared" si="27"/>
        <v>0</v>
      </c>
      <c r="L82" s="255">
        <f t="shared" si="27"/>
        <v>0</v>
      </c>
      <c r="M82" s="255">
        <f t="shared" si="27"/>
        <v>0</v>
      </c>
      <c r="N82" s="255">
        <f t="shared" si="27"/>
        <v>0</v>
      </c>
      <c r="O82" s="255">
        <f t="shared" si="27"/>
        <v>0</v>
      </c>
      <c r="P82" s="255">
        <f t="shared" si="27"/>
        <v>0</v>
      </c>
      <c r="Q82" s="255">
        <f t="shared" si="27"/>
        <v>0</v>
      </c>
      <c r="R82" s="255">
        <f t="shared" si="27"/>
        <v>0</v>
      </c>
      <c r="S82" s="255">
        <f t="shared" si="27"/>
        <v>0</v>
      </c>
      <c r="T82" s="255">
        <f t="shared" si="27"/>
        <v>0</v>
      </c>
      <c r="U82" s="255">
        <f t="shared" si="27"/>
        <v>0</v>
      </c>
      <c r="V82" s="255">
        <f t="shared" si="27"/>
        <v>0</v>
      </c>
      <c r="W82" s="255">
        <f t="shared" si="27"/>
        <v>0</v>
      </c>
      <c r="X82" s="255">
        <f t="shared" si="27"/>
        <v>0</v>
      </c>
      <c r="Y82" s="255">
        <f t="shared" si="27"/>
        <v>0</v>
      </c>
      <c r="Z82" s="255">
        <f t="shared" si="27"/>
        <v>0</v>
      </c>
      <c r="AA82" s="255">
        <f t="shared" si="27"/>
        <v>0</v>
      </c>
      <c r="AB82" s="255">
        <f t="shared" si="27"/>
        <v>0</v>
      </c>
      <c r="AC82" s="255">
        <f t="shared" si="27"/>
        <v>0</v>
      </c>
      <c r="AD82" s="255">
        <f t="shared" si="27"/>
        <v>0</v>
      </c>
      <c r="AE82" s="255">
        <f t="shared" si="27"/>
        <v>0</v>
      </c>
      <c r="AF82" s="255">
        <f t="shared" si="27"/>
        <v>0</v>
      </c>
      <c r="AG82" s="255">
        <f t="shared" si="27"/>
        <v>0</v>
      </c>
    </row>
    <row r="83" spans="1:33" ht="14.25" x14ac:dyDescent="0.2">
      <c r="A83" s="223" t="s">
        <v>300</v>
      </c>
      <c r="B83" s="256">
        <f>SUM(B75:B82)</f>
        <v>86140981.054000005</v>
      </c>
      <c r="C83" s="256">
        <f t="shared" ref="C83:V83" si="28">SUM(C75:C82)</f>
        <v>-93364742.689878404</v>
      </c>
      <c r="D83" s="256">
        <f t="shared" si="28"/>
        <v>-2051095.1619882649</v>
      </c>
      <c r="E83" s="256">
        <f t="shared" si="28"/>
        <v>8692120.3038533367</v>
      </c>
      <c r="F83" s="256">
        <f t="shared" si="28"/>
        <v>8278325.8091956805</v>
      </c>
      <c r="G83" s="256">
        <f t="shared" si="28"/>
        <v>9388704.9453152325</v>
      </c>
      <c r="H83" s="256">
        <f t="shared" si="28"/>
        <v>9759623.6115220543</v>
      </c>
      <c r="I83" s="256">
        <f t="shared" si="28"/>
        <v>10155488.71453516</v>
      </c>
      <c r="J83" s="256">
        <f t="shared" si="28"/>
        <v>10568771.882080838</v>
      </c>
      <c r="K83" s="256">
        <f t="shared" si="28"/>
        <v>10990433.426568581</v>
      </c>
      <c r="L83" s="256">
        <f t="shared" si="28"/>
        <v>11419998.673494859</v>
      </c>
      <c r="M83" s="256">
        <f t="shared" si="28"/>
        <v>11856948.351570683</v>
      </c>
      <c r="N83" s="256">
        <f t="shared" si="28"/>
        <v>12300718.707548181</v>
      </c>
      <c r="O83" s="256">
        <f t="shared" si="28"/>
        <v>12762239.877764774</v>
      </c>
      <c r="P83" s="256">
        <f t="shared" si="28"/>
        <v>13242221.894790033</v>
      </c>
      <c r="Q83" s="256">
        <f t="shared" si="28"/>
        <v>13741403.1924963</v>
      </c>
      <c r="R83" s="256">
        <f t="shared" si="28"/>
        <v>14260551.742110822</v>
      </c>
      <c r="S83" s="256">
        <f t="shared" si="28"/>
        <v>14800466.233709913</v>
      </c>
      <c r="T83" s="256">
        <f t="shared" si="28"/>
        <v>15361977.30497298</v>
      </c>
      <c r="U83" s="256">
        <f t="shared" si="28"/>
        <v>15945948.819086567</v>
      </c>
      <c r="V83" s="256">
        <f t="shared" si="28"/>
        <v>16553279.193764694</v>
      </c>
      <c r="W83" s="256">
        <f>SUM(W75:W82)</f>
        <v>17184902.78342995</v>
      </c>
      <c r="X83" s="256">
        <f>SUM(X75:X82)</f>
        <v>17841791.316681828</v>
      </c>
      <c r="Y83" s="256">
        <f>SUM(Y75:Y82)</f>
        <v>18524955.391263757</v>
      </c>
      <c r="Z83" s="256">
        <f>SUM(Z75:Z82)</f>
        <v>19235446.028828975</v>
      </c>
      <c r="AA83" s="256">
        <f t="shared" ref="AA83:AG83" si="29">SUM(AA75:AA82)</f>
        <v>19974356.291896801</v>
      </c>
      <c r="AB83" s="256">
        <f t="shared" si="29"/>
        <v>20742822.965487346</v>
      </c>
      <c r="AC83" s="256">
        <f t="shared" si="29"/>
        <v>21542028.306021508</v>
      </c>
      <c r="AD83" s="256">
        <f t="shared" si="29"/>
        <v>22373201.860177029</v>
      </c>
      <c r="AE83" s="256">
        <f t="shared" si="29"/>
        <v>23237622.356498782</v>
      </c>
      <c r="AF83" s="256">
        <f t="shared" si="29"/>
        <v>24136619.672673404</v>
      </c>
      <c r="AG83" s="256">
        <f t="shared" si="29"/>
        <v>25071576.88149501</v>
      </c>
    </row>
    <row r="84" spans="1:33" ht="14.25" x14ac:dyDescent="0.2">
      <c r="A84" s="223" t="s">
        <v>299</v>
      </c>
      <c r="B84" s="256">
        <f>SUM($B$83:B83)</f>
        <v>86140981.054000005</v>
      </c>
      <c r="C84" s="256">
        <f>SUM($B$83:C83)</f>
        <v>-7223761.635878399</v>
      </c>
      <c r="D84" s="256">
        <f>SUM($B$83:D83)</f>
        <v>-9274856.7978666648</v>
      </c>
      <c r="E84" s="256">
        <f>SUM($B$83:E83)</f>
        <v>-582736.49401332811</v>
      </c>
      <c r="F84" s="256">
        <f>SUM($B$83:F83)</f>
        <v>7695589.3151823524</v>
      </c>
      <c r="G84" s="256">
        <f>SUM($B$83:G83)</f>
        <v>17084294.260497585</v>
      </c>
      <c r="H84" s="256">
        <f>SUM($B$83:H83)</f>
        <v>26843917.872019641</v>
      </c>
      <c r="I84" s="256">
        <f>SUM($B$83:I83)</f>
        <v>36999406.586554803</v>
      </c>
      <c r="J84" s="256">
        <f>SUM($B$83:J83)</f>
        <v>47568178.468635641</v>
      </c>
      <c r="K84" s="256">
        <f>SUM($B$83:K83)</f>
        <v>58558611.895204224</v>
      </c>
      <c r="L84" s="256">
        <f>SUM($B$83:L83)</f>
        <v>69978610.568699077</v>
      </c>
      <c r="M84" s="256">
        <f>SUM($B$83:M83)</f>
        <v>81835558.920269758</v>
      </c>
      <c r="N84" s="256">
        <f>SUM($B$83:N83)</f>
        <v>94136277.627817944</v>
      </c>
      <c r="O84" s="256">
        <f>SUM($B$83:O83)</f>
        <v>106898517.50558272</v>
      </c>
      <c r="P84" s="256">
        <f>SUM($B$83:P83)</f>
        <v>120140739.40037276</v>
      </c>
      <c r="Q84" s="256">
        <f>SUM($B$83:Q83)</f>
        <v>133882142.59286906</v>
      </c>
      <c r="R84" s="256">
        <f>SUM($B$83:R83)</f>
        <v>148142694.33497989</v>
      </c>
      <c r="S84" s="256">
        <f>SUM($B$83:S83)</f>
        <v>162943160.56868979</v>
      </c>
      <c r="T84" s="256">
        <f>SUM($B$83:T83)</f>
        <v>178305137.87366277</v>
      </c>
      <c r="U84" s="256">
        <f>SUM($B$83:U83)</f>
        <v>194251086.69274932</v>
      </c>
      <c r="V84" s="256">
        <f>SUM($B$83:V83)</f>
        <v>210804365.88651401</v>
      </c>
      <c r="W84" s="256">
        <f>SUM($B$83:W83)</f>
        <v>227989268.66994396</v>
      </c>
      <c r="X84" s="256">
        <f>SUM($B$83:X83)</f>
        <v>245831059.98662579</v>
      </c>
      <c r="Y84" s="256">
        <f>SUM($B$83:Y83)</f>
        <v>264356015.37788954</v>
      </c>
      <c r="Z84" s="256">
        <f>SUM($B$83:Z83)</f>
        <v>283591461.40671849</v>
      </c>
      <c r="AA84" s="256">
        <f>SUM($B$83:AA83)</f>
        <v>303565817.69861531</v>
      </c>
      <c r="AB84" s="256">
        <f>SUM($B$83:AB83)</f>
        <v>324308640.66410267</v>
      </c>
      <c r="AC84" s="256">
        <f>SUM($B$83:AC83)</f>
        <v>345850668.97012419</v>
      </c>
      <c r="AD84" s="256">
        <f>SUM($B$83:AD83)</f>
        <v>368223870.83030123</v>
      </c>
      <c r="AE84" s="256">
        <f>SUM($B$83:AE83)</f>
        <v>391461493.1868</v>
      </c>
      <c r="AF84" s="256">
        <f>SUM($B$83:AF83)</f>
        <v>415598112.85947341</v>
      </c>
      <c r="AG84" s="256">
        <f>SUM($B$83:AG83)</f>
        <v>440669689.74096841</v>
      </c>
    </row>
    <row r="85" spans="1:33" x14ac:dyDescent="0.2">
      <c r="A85" s="222" t="s">
        <v>535</v>
      </c>
      <c r="B85" s="257">
        <f t="shared" ref="B85:AG85" si="30">1/POWER((1+$B$44),B73)</f>
        <v>1</v>
      </c>
      <c r="C85" s="257">
        <f t="shared" si="30"/>
        <v>1</v>
      </c>
      <c r="D85" s="257">
        <f t="shared" si="30"/>
        <v>1</v>
      </c>
      <c r="E85" s="257">
        <f t="shared" si="30"/>
        <v>0.94072086838359736</v>
      </c>
      <c r="F85" s="257">
        <f t="shared" si="30"/>
        <v>0.83249634370229864</v>
      </c>
      <c r="G85" s="257">
        <f t="shared" si="30"/>
        <v>0.73672242805513155</v>
      </c>
      <c r="H85" s="257">
        <f t="shared" si="30"/>
        <v>0.65196675049126696</v>
      </c>
      <c r="I85" s="257">
        <f t="shared" si="30"/>
        <v>0.57696172609846641</v>
      </c>
      <c r="J85" s="257">
        <f t="shared" si="30"/>
        <v>0.51058559831722694</v>
      </c>
      <c r="K85" s="257">
        <f t="shared" si="30"/>
        <v>0.45184566222763445</v>
      </c>
      <c r="L85" s="257">
        <f t="shared" si="30"/>
        <v>0.39986341790056151</v>
      </c>
      <c r="M85" s="257">
        <f t="shared" si="30"/>
        <v>0.35386143177040841</v>
      </c>
      <c r="N85" s="257">
        <f t="shared" si="30"/>
        <v>0.31315170953133498</v>
      </c>
      <c r="O85" s="257">
        <f t="shared" si="30"/>
        <v>0.27712540666489821</v>
      </c>
      <c r="P85" s="257">
        <f t="shared" si="30"/>
        <v>0.24524372271229933</v>
      </c>
      <c r="Q85" s="257">
        <f t="shared" si="30"/>
        <v>0.21702984310822954</v>
      </c>
      <c r="R85" s="257">
        <f t="shared" si="30"/>
        <v>0.19206180806038009</v>
      </c>
      <c r="S85" s="257">
        <f t="shared" si="30"/>
        <v>0.16996620182334526</v>
      </c>
      <c r="T85" s="257">
        <f t="shared" si="30"/>
        <v>0.15041256798526129</v>
      </c>
      <c r="U85" s="257">
        <f t="shared" si="30"/>
        <v>0.13310846724359404</v>
      </c>
      <c r="V85" s="257">
        <f t="shared" si="30"/>
        <v>0.11779510375539298</v>
      </c>
      <c r="W85" s="257">
        <f t="shared" si="30"/>
        <v>0.10424345465079028</v>
      </c>
      <c r="X85" s="257">
        <f t="shared" si="30"/>
        <v>9.2250844823708225E-2</v>
      </c>
      <c r="Y85" s="257">
        <f t="shared" si="30"/>
        <v>8.163791577319314E-2</v>
      </c>
      <c r="Z85" s="257">
        <f t="shared" si="30"/>
        <v>7.2245943162117798E-2</v>
      </c>
      <c r="AA85" s="257">
        <f t="shared" si="30"/>
        <v>6.3934462975325498E-2</v>
      </c>
      <c r="AB85" s="257">
        <f t="shared" si="30"/>
        <v>5.6579170774624342E-2</v>
      </c>
      <c r="AC85" s="257">
        <f t="shared" si="30"/>
        <v>5.0070062632410935E-2</v>
      </c>
      <c r="AD85" s="257">
        <f t="shared" si="30"/>
        <v>4.4309789940186653E-2</v>
      </c>
      <c r="AE85" s="257">
        <f t="shared" si="30"/>
        <v>3.9212203486890855E-2</v>
      </c>
      <c r="AF85" s="257">
        <f t="shared" si="30"/>
        <v>3.4701065032646777E-2</v>
      </c>
      <c r="AG85" s="257">
        <f t="shared" si="30"/>
        <v>3.0708907108536979E-2</v>
      </c>
    </row>
    <row r="86" spans="1:33" ht="28.5" x14ac:dyDescent="0.2">
      <c r="A86" s="221" t="s">
        <v>298</v>
      </c>
      <c r="B86" s="256">
        <f>B83*B85</f>
        <v>86140981.054000005</v>
      </c>
      <c r="C86" s="256">
        <f>C83*C85</f>
        <v>-93364742.689878404</v>
      </c>
      <c r="D86" s="256">
        <f t="shared" ref="D86:AG86" si="31">D83*D85</f>
        <v>-2051095.1619882649</v>
      </c>
      <c r="E86" s="256">
        <f t="shared" si="31"/>
        <v>8176858.9603356095</v>
      </c>
      <c r="F86" s="256">
        <f t="shared" si="31"/>
        <v>6891675.9681317769</v>
      </c>
      <c r="G86" s="256">
        <f t="shared" si="31"/>
        <v>6916869.5036058594</v>
      </c>
      <c r="H86" s="256">
        <f t="shared" si="31"/>
        <v>6362950.0920218769</v>
      </c>
      <c r="I86" s="256">
        <f t="shared" si="31"/>
        <v>5859328.2981117014</v>
      </c>
      <c r="J86" s="256">
        <f t="shared" si="31"/>
        <v>5396262.7148905294</v>
      </c>
      <c r="K86" s="256">
        <f t="shared" si="31"/>
        <v>4965979.6697966103</v>
      </c>
      <c r="L86" s="256">
        <f t="shared" si="31"/>
        <v>4566439.702003533</v>
      </c>
      <c r="M86" s="256">
        <f t="shared" si="31"/>
        <v>4195716.7201145859</v>
      </c>
      <c r="N86" s="256">
        <f t="shared" si="31"/>
        <v>3851991.091732786</v>
      </c>
      <c r="O86" s="256">
        <f t="shared" si="31"/>
        <v>3536740.9160805438</v>
      </c>
      <c r="P86" s="256">
        <f t="shared" si="31"/>
        <v>3247571.7944606259</v>
      </c>
      <c r="Q86" s="256">
        <f t="shared" si="31"/>
        <v>2982294.5789543963</v>
      </c>
      <c r="R86" s="256">
        <f t="shared" si="31"/>
        <v>2738907.3515284075</v>
      </c>
      <c r="S86" s="256">
        <f t="shared" si="31"/>
        <v>2515579.0309583456</v>
      </c>
      <c r="T86" s="256">
        <f t="shared" si="31"/>
        <v>2310634.4557722895</v>
      </c>
      <c r="U86" s="256">
        <f t="shared" si="31"/>
        <v>2122540.8060534112</v>
      </c>
      <c r="V86" s="256">
        <f t="shared" si="31"/>
        <v>1949895.2401215001</v>
      </c>
      <c r="W86" s="256">
        <f t="shared" si="31"/>
        <v>1791413.6339827196</v>
      </c>
      <c r="X86" s="256">
        <f t="shared" si="31"/>
        <v>1645920.3221322002</v>
      </c>
      <c r="Y86" s="256">
        <f t="shared" si="31"/>
        <v>1512338.7479341507</v>
      </c>
      <c r="Z86" s="256">
        <f t="shared" si="31"/>
        <v>1389682.9404967625</v>
      </c>
      <c r="AA86" s="256">
        <f t="shared" si="31"/>
        <v>1277049.742800236</v>
      </c>
      <c r="AB86" s="256">
        <f t="shared" si="31"/>
        <v>1173611.7229121083</v>
      </c>
      <c r="AC86" s="256">
        <f t="shared" si="31"/>
        <v>1078610.7065116661</v>
      </c>
      <c r="AD86" s="256">
        <f t="shared" si="31"/>
        <v>991351.8747138374</v>
      </c>
      <c r="AE86" s="256">
        <f t="shared" si="31"/>
        <v>911198.37639455439</v>
      </c>
      <c r="AF86" s="256">
        <f t="shared" si="31"/>
        <v>837566.40892970143</v>
      </c>
      <c r="AG86" s="256">
        <f t="shared" si="31"/>
        <v>769920.72551837354</v>
      </c>
    </row>
    <row r="87" spans="1:33" ht="14.25" x14ac:dyDescent="0.2">
      <c r="A87" s="221" t="s">
        <v>297</v>
      </c>
      <c r="B87" s="256">
        <f>SUM($B$86:B86)</f>
        <v>86140981.054000005</v>
      </c>
      <c r="C87" s="256">
        <f>SUM($B$86:C86)</f>
        <v>-7223761.635878399</v>
      </c>
      <c r="D87" s="256">
        <f>SUM($B$86:D86)</f>
        <v>-9274856.7978666648</v>
      </c>
      <c r="E87" s="256">
        <f>SUM($B$86:E86)</f>
        <v>-1097997.8375310553</v>
      </c>
      <c r="F87" s="256">
        <f>SUM($B$86:F86)</f>
        <v>5793678.1306007216</v>
      </c>
      <c r="G87" s="256">
        <f>SUM($B$86:G86)</f>
        <v>12710547.634206582</v>
      </c>
      <c r="H87" s="256">
        <f>SUM($B$86:H86)</f>
        <v>19073497.726228461</v>
      </c>
      <c r="I87" s="256">
        <f>SUM($B$86:I86)</f>
        <v>24932826.02434016</v>
      </c>
      <c r="J87" s="256">
        <f>SUM($B$86:J86)</f>
        <v>30329088.739230689</v>
      </c>
      <c r="K87" s="256">
        <f>SUM($B$86:K86)</f>
        <v>35295068.409027301</v>
      </c>
      <c r="L87" s="256">
        <f>SUM($B$86:L86)</f>
        <v>39861508.111030832</v>
      </c>
      <c r="M87" s="256">
        <f>SUM($B$86:M86)</f>
        <v>44057224.831145421</v>
      </c>
      <c r="N87" s="256">
        <f>SUM($B$86:N86)</f>
        <v>47909215.922878206</v>
      </c>
      <c r="O87" s="256">
        <f>SUM($B$86:O86)</f>
        <v>51445956.838958748</v>
      </c>
      <c r="P87" s="256">
        <f>SUM($B$86:P86)</f>
        <v>54693528.633419372</v>
      </c>
      <c r="Q87" s="256">
        <f>SUM($B$86:Q86)</f>
        <v>57675823.212373771</v>
      </c>
      <c r="R87" s="256">
        <f>SUM($B$86:R86)</f>
        <v>60414730.563902177</v>
      </c>
      <c r="S87" s="256">
        <f>SUM($B$86:S86)</f>
        <v>62930309.594860524</v>
      </c>
      <c r="T87" s="256">
        <f>SUM($B$86:T86)</f>
        <v>65240944.050632812</v>
      </c>
      <c r="U87" s="256">
        <f>SUM($B$86:U86)</f>
        <v>67363484.85668622</v>
      </c>
      <c r="V87" s="256">
        <f>SUM($B$86:V86)</f>
        <v>69313380.096807718</v>
      </c>
      <c r="W87" s="256">
        <f>SUM($B$86:W86)</f>
        <v>71104793.730790436</v>
      </c>
      <c r="X87" s="256">
        <f>SUM($B$86:X86)</f>
        <v>72750714.052922636</v>
      </c>
      <c r="Y87" s="256">
        <f>SUM($B$86:Y86)</f>
        <v>74263052.800856784</v>
      </c>
      <c r="Z87" s="256">
        <f>SUM($B$86:Z86)</f>
        <v>75652735.741353542</v>
      </c>
      <c r="AA87" s="256">
        <f>SUM($B$86:AA86)</f>
        <v>76929785.484153777</v>
      </c>
      <c r="AB87" s="256">
        <f>SUM($B$86:AB86)</f>
        <v>78103397.20706588</v>
      </c>
      <c r="AC87" s="256">
        <f>SUM($B$86:AC86)</f>
        <v>79182007.913577542</v>
      </c>
      <c r="AD87" s="256">
        <f>SUM($B$86:AD86)</f>
        <v>80173359.78829138</v>
      </c>
      <c r="AE87" s="256">
        <f>SUM($B$86:AE86)</f>
        <v>81084558.164685935</v>
      </c>
      <c r="AF87" s="256">
        <f>SUM($B$86:AF86)</f>
        <v>81922124.57361564</v>
      </c>
      <c r="AG87" s="256">
        <f>SUM($B$86:AG86)</f>
        <v>82692045.299134016</v>
      </c>
    </row>
    <row r="88" spans="1:33" ht="14.25" x14ac:dyDescent="0.2">
      <c r="A88" s="221" t="s">
        <v>296</v>
      </c>
      <c r="B88" s="258">
        <f>IF((ISERR(IRR($B$83:B83))),0,IF(IRR($B$83:B83)&lt;0,0,IRR($B$83:B83)))</f>
        <v>0</v>
      </c>
      <c r="C88" s="258">
        <f>IF((ISERR(IRR($B$83:C83))),0,IF(IRR($B$83:C83)&lt;0,0,IRR($B$83:C83)))</f>
        <v>8.3859755803686209E-2</v>
      </c>
      <c r="D88" s="258">
        <f>IF((ISERR(IRR($B$83:D83))),0,IF(IRR($B$83:D83)&lt;0,0,IRR($B$83:D83)))</f>
        <v>0.10540028771456367</v>
      </c>
      <c r="E88" s="258">
        <f>IF((ISERR(IRR($B$83:E83))),0,IF(IRR($B$83:E83)&lt;0,0,IRR($B$83:E83)))</f>
        <v>8.2072285050860394E-3</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row>
    <row r="89" spans="1:33" ht="14.25" x14ac:dyDescent="0.2">
      <c r="A89" s="221" t="s">
        <v>295</v>
      </c>
      <c r="B89" s="259">
        <f>IF(AND(B84&gt;0,A84&lt;0),(B74-(B84/(B84-A84))),0)</f>
        <v>0</v>
      </c>
      <c r="C89" s="259">
        <f t="shared" ref="C89:AG89" si="32">IF(AND(C84&gt;0,B84&lt;0),(C74-(C84/(C84-B84))),0)</f>
        <v>0</v>
      </c>
      <c r="D89" s="259">
        <f t="shared" si="32"/>
        <v>0</v>
      </c>
      <c r="E89" s="259">
        <f t="shared" si="32"/>
        <v>0</v>
      </c>
      <c r="F89" s="259">
        <f t="shared" si="32"/>
        <v>4.0703930368826526</v>
      </c>
      <c r="G89" s="259">
        <f t="shared" si="32"/>
        <v>0</v>
      </c>
      <c r="H89" s="259">
        <f>IF(AND(H84&gt;0,G84&lt;0),(H74-(H84/(H84-G84))),0)</f>
        <v>0</v>
      </c>
      <c r="I89" s="259">
        <f t="shared" si="32"/>
        <v>0</v>
      </c>
      <c r="J89" s="259">
        <f t="shared" si="32"/>
        <v>0</v>
      </c>
      <c r="K89" s="259">
        <f t="shared" si="32"/>
        <v>0</v>
      </c>
      <c r="L89" s="259">
        <f t="shared" si="32"/>
        <v>0</v>
      </c>
      <c r="M89" s="259">
        <f t="shared" si="32"/>
        <v>0</v>
      </c>
      <c r="N89" s="259">
        <f t="shared" si="32"/>
        <v>0</v>
      </c>
      <c r="O89" s="259">
        <f t="shared" si="32"/>
        <v>0</v>
      </c>
      <c r="P89" s="259">
        <f t="shared" si="32"/>
        <v>0</v>
      </c>
      <c r="Q89" s="259">
        <f t="shared" si="32"/>
        <v>0</v>
      </c>
      <c r="R89" s="259">
        <f t="shared" si="32"/>
        <v>0</v>
      </c>
      <c r="S89" s="259">
        <f t="shared" si="32"/>
        <v>0</v>
      </c>
      <c r="T89" s="259">
        <f t="shared" si="32"/>
        <v>0</v>
      </c>
      <c r="U89" s="259">
        <f t="shared" si="32"/>
        <v>0</v>
      </c>
      <c r="V89" s="259">
        <f t="shared" si="32"/>
        <v>0</v>
      </c>
      <c r="W89" s="259">
        <f t="shared" si="32"/>
        <v>0</v>
      </c>
      <c r="X89" s="259">
        <f t="shared" si="32"/>
        <v>0</v>
      </c>
      <c r="Y89" s="259">
        <f t="shared" si="32"/>
        <v>0</v>
      </c>
      <c r="Z89" s="259">
        <f t="shared" si="32"/>
        <v>0</v>
      </c>
      <c r="AA89" s="259">
        <f t="shared" si="32"/>
        <v>0</v>
      </c>
      <c r="AB89" s="259">
        <f t="shared" si="32"/>
        <v>0</v>
      </c>
      <c r="AC89" s="259">
        <f t="shared" si="32"/>
        <v>0</v>
      </c>
      <c r="AD89" s="259">
        <f t="shared" si="32"/>
        <v>0</v>
      </c>
      <c r="AE89" s="259">
        <f t="shared" si="32"/>
        <v>0</v>
      </c>
      <c r="AF89" s="259">
        <f t="shared" si="32"/>
        <v>0</v>
      </c>
      <c r="AG89" s="259">
        <f t="shared" si="32"/>
        <v>0</v>
      </c>
    </row>
    <row r="90" spans="1:33" ht="15" thickBot="1" x14ac:dyDescent="0.25">
      <c r="A90" s="229" t="s">
        <v>294</v>
      </c>
      <c r="B90" s="230">
        <f t="shared" ref="B90:AG90" si="33">IF(AND(B87&gt;0,A87&lt;0),(B74-(B87/(B87-A87))),0)</f>
        <v>0</v>
      </c>
      <c r="C90" s="230">
        <f t="shared" si="33"/>
        <v>0</v>
      </c>
      <c r="D90" s="230">
        <f t="shared" si="33"/>
        <v>0</v>
      </c>
      <c r="E90" s="230">
        <f t="shared" si="33"/>
        <v>0</v>
      </c>
      <c r="F90" s="230">
        <f t="shared" si="33"/>
        <v>4.1593223248754549</v>
      </c>
      <c r="G90" s="230">
        <f t="shared" si="33"/>
        <v>0</v>
      </c>
      <c r="H90" s="230">
        <f t="shared" si="33"/>
        <v>0</v>
      </c>
      <c r="I90" s="230">
        <f t="shared" si="33"/>
        <v>0</v>
      </c>
      <c r="J90" s="230">
        <f t="shared" si="33"/>
        <v>0</v>
      </c>
      <c r="K90" s="230">
        <f t="shared" si="33"/>
        <v>0</v>
      </c>
      <c r="L90" s="230">
        <f t="shared" si="33"/>
        <v>0</v>
      </c>
      <c r="M90" s="230">
        <f t="shared" si="33"/>
        <v>0</v>
      </c>
      <c r="N90" s="230">
        <f t="shared" si="33"/>
        <v>0</v>
      </c>
      <c r="O90" s="230">
        <f t="shared" si="33"/>
        <v>0</v>
      </c>
      <c r="P90" s="230">
        <f t="shared" si="33"/>
        <v>0</v>
      </c>
      <c r="Q90" s="230">
        <f t="shared" si="33"/>
        <v>0</v>
      </c>
      <c r="R90" s="230">
        <f t="shared" si="33"/>
        <v>0</v>
      </c>
      <c r="S90" s="230">
        <f t="shared" si="33"/>
        <v>0</v>
      </c>
      <c r="T90" s="230">
        <f t="shared" si="33"/>
        <v>0</v>
      </c>
      <c r="U90" s="230">
        <f t="shared" si="33"/>
        <v>0</v>
      </c>
      <c r="V90" s="230">
        <f t="shared" si="33"/>
        <v>0</v>
      </c>
      <c r="W90" s="230">
        <f t="shared" si="33"/>
        <v>0</v>
      </c>
      <c r="X90" s="230">
        <f t="shared" si="33"/>
        <v>0</v>
      </c>
      <c r="Y90" s="230">
        <f t="shared" si="33"/>
        <v>0</v>
      </c>
      <c r="Z90" s="230">
        <f t="shared" si="33"/>
        <v>0</v>
      </c>
      <c r="AA90" s="230">
        <f t="shared" si="33"/>
        <v>0</v>
      </c>
      <c r="AB90" s="230">
        <f t="shared" si="33"/>
        <v>0</v>
      </c>
      <c r="AC90" s="230">
        <f t="shared" si="33"/>
        <v>0</v>
      </c>
      <c r="AD90" s="230">
        <f t="shared" si="33"/>
        <v>0</v>
      </c>
      <c r="AE90" s="230">
        <f t="shared" si="33"/>
        <v>0</v>
      </c>
      <c r="AF90" s="230">
        <f t="shared" si="33"/>
        <v>0</v>
      </c>
      <c r="AG90" s="230">
        <f t="shared" si="33"/>
        <v>0</v>
      </c>
    </row>
    <row r="91" spans="1:33" s="209" customFormat="1" x14ac:dyDescent="0.2">
      <c r="A91" s="183"/>
      <c r="B91" s="231">
        <v>2016</v>
      </c>
      <c r="C91" s="231">
        <f>B91+1</f>
        <v>2017</v>
      </c>
      <c r="D91" s="178">
        <f t="shared" ref="D91:AG91" si="34">C91+1</f>
        <v>2018</v>
      </c>
      <c r="E91" s="178">
        <f t="shared" si="34"/>
        <v>2019</v>
      </c>
      <c r="F91" s="178">
        <f t="shared" si="34"/>
        <v>2020</v>
      </c>
      <c r="G91" s="178">
        <f t="shared" si="34"/>
        <v>2021</v>
      </c>
      <c r="H91" s="178">
        <f t="shared" si="34"/>
        <v>2022</v>
      </c>
      <c r="I91" s="178">
        <f t="shared" si="34"/>
        <v>2023</v>
      </c>
      <c r="J91" s="178">
        <f t="shared" si="34"/>
        <v>2024</v>
      </c>
      <c r="K91" s="178">
        <f t="shared" si="34"/>
        <v>2025</v>
      </c>
      <c r="L91" s="178">
        <f t="shared" si="34"/>
        <v>2026</v>
      </c>
      <c r="M91" s="178">
        <f t="shared" si="34"/>
        <v>2027</v>
      </c>
      <c r="N91" s="178">
        <f t="shared" si="34"/>
        <v>2028</v>
      </c>
      <c r="O91" s="178">
        <f t="shared" si="34"/>
        <v>2029</v>
      </c>
      <c r="P91" s="178">
        <f t="shared" si="34"/>
        <v>2030</v>
      </c>
      <c r="Q91" s="178">
        <f t="shared" si="34"/>
        <v>2031</v>
      </c>
      <c r="R91" s="178">
        <f t="shared" si="34"/>
        <v>2032</v>
      </c>
      <c r="S91" s="178">
        <f t="shared" si="34"/>
        <v>2033</v>
      </c>
      <c r="T91" s="178">
        <f t="shared" si="34"/>
        <v>2034</v>
      </c>
      <c r="U91" s="178">
        <f t="shared" si="34"/>
        <v>2035</v>
      </c>
      <c r="V91" s="178">
        <f t="shared" si="34"/>
        <v>2036</v>
      </c>
      <c r="W91" s="178">
        <f t="shared" si="34"/>
        <v>2037</v>
      </c>
      <c r="X91" s="178">
        <f t="shared" si="34"/>
        <v>2038</v>
      </c>
      <c r="Y91" s="178">
        <f t="shared" si="34"/>
        <v>2039</v>
      </c>
      <c r="Z91" s="178">
        <f t="shared" si="34"/>
        <v>2040</v>
      </c>
      <c r="AA91" s="178">
        <f t="shared" si="34"/>
        <v>2041</v>
      </c>
      <c r="AB91" s="178">
        <f t="shared" si="34"/>
        <v>2042</v>
      </c>
      <c r="AC91" s="178">
        <f t="shared" si="34"/>
        <v>2043</v>
      </c>
      <c r="AD91" s="178">
        <f t="shared" si="34"/>
        <v>2044</v>
      </c>
      <c r="AE91" s="178">
        <f t="shared" si="34"/>
        <v>2045</v>
      </c>
      <c r="AF91" s="178">
        <f t="shared" si="34"/>
        <v>2046</v>
      </c>
      <c r="AG91" s="178">
        <f t="shared" si="34"/>
        <v>2047</v>
      </c>
    </row>
    <row r="92" spans="1:33" ht="15.6" customHeight="1" x14ac:dyDescent="0.2">
      <c r="A92" s="232" t="s">
        <v>293</v>
      </c>
      <c r="B92" s="122"/>
      <c r="C92" s="122"/>
      <c r="D92" s="122"/>
      <c r="E92" s="122"/>
      <c r="F92" s="122"/>
      <c r="G92" s="122"/>
      <c r="H92" s="122"/>
      <c r="I92" s="122"/>
      <c r="J92" s="122"/>
      <c r="K92" s="122"/>
      <c r="L92" s="233">
        <v>10</v>
      </c>
      <c r="M92" s="122">
        <v>10</v>
      </c>
      <c r="N92" s="122"/>
      <c r="O92" s="122"/>
      <c r="P92" s="122"/>
      <c r="Q92" s="122"/>
      <c r="R92" s="122"/>
      <c r="S92" s="122"/>
      <c r="T92" s="122"/>
      <c r="U92" s="122"/>
      <c r="V92" s="122"/>
      <c r="W92" s="122"/>
      <c r="X92" s="122"/>
      <c r="Y92" s="122"/>
      <c r="Z92" s="122"/>
      <c r="AA92" s="122"/>
      <c r="AB92" s="122"/>
      <c r="AC92" s="122"/>
      <c r="AD92" s="122"/>
      <c r="AE92" s="122"/>
      <c r="AF92" s="122"/>
      <c r="AG92" s="122">
        <v>30</v>
      </c>
    </row>
    <row r="93" spans="1:33" ht="12.75" x14ac:dyDescent="0.2">
      <c r="A93" s="123" t="s">
        <v>292</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row>
    <row r="94" spans="1:33" ht="12.75" x14ac:dyDescent="0.2">
      <c r="A94" s="123" t="s">
        <v>291</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row>
    <row r="95" spans="1:33" ht="12.75" x14ac:dyDescent="0.2">
      <c r="A95" s="123" t="s">
        <v>290</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row>
    <row r="96" spans="1:33" ht="12.75" x14ac:dyDescent="0.2">
      <c r="A96" s="124" t="s">
        <v>289</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row>
    <row r="97" spans="1:53" ht="33" customHeight="1" x14ac:dyDescent="0.2">
      <c r="A97" s="462" t="s">
        <v>536</v>
      </c>
      <c r="B97" s="462"/>
      <c r="C97" s="462"/>
      <c r="D97" s="462"/>
      <c r="E97" s="462"/>
      <c r="F97" s="462"/>
      <c r="G97" s="462"/>
      <c r="H97" s="462"/>
      <c r="I97" s="462"/>
      <c r="J97" s="462"/>
      <c r="K97" s="462"/>
      <c r="L97" s="462"/>
      <c r="M97" s="224"/>
      <c r="N97" s="224"/>
      <c r="O97" s="224"/>
      <c r="P97" s="224"/>
      <c r="Q97" s="224"/>
      <c r="R97" s="224"/>
      <c r="S97" s="224"/>
      <c r="T97" s="224"/>
      <c r="U97" s="224"/>
      <c r="V97" s="224"/>
      <c r="W97" s="224"/>
      <c r="X97" s="224"/>
      <c r="Y97" s="224"/>
      <c r="Z97" s="224"/>
      <c r="AA97" s="224"/>
      <c r="AB97" s="224"/>
      <c r="AC97" s="224"/>
      <c r="AD97" s="224"/>
      <c r="AE97" s="224"/>
      <c r="AF97" s="224"/>
      <c r="AG97" s="224"/>
    </row>
    <row r="98" spans="1:53" x14ac:dyDescent="0.2">
      <c r="C98" s="234"/>
    </row>
    <row r="99" spans="1:53" ht="12.75" hidden="1" x14ac:dyDescent="0.2">
      <c r="A99" s="260"/>
      <c r="B99" s="261">
        <v>2016</v>
      </c>
      <c r="C99" s="261">
        <v>2017</v>
      </c>
      <c r="D99" s="262">
        <f t="shared" ref="D99:AG99" si="35">C99+1</f>
        <v>2018</v>
      </c>
      <c r="E99" s="262">
        <f t="shared" si="35"/>
        <v>2019</v>
      </c>
      <c r="F99" s="262">
        <f t="shared" si="35"/>
        <v>2020</v>
      </c>
      <c r="G99" s="262">
        <f t="shared" si="35"/>
        <v>2021</v>
      </c>
      <c r="H99" s="262">
        <f t="shared" si="35"/>
        <v>2022</v>
      </c>
      <c r="I99" s="262">
        <f t="shared" si="35"/>
        <v>2023</v>
      </c>
      <c r="J99" s="262">
        <f t="shared" si="35"/>
        <v>2024</v>
      </c>
      <c r="K99" s="262">
        <f t="shared" si="35"/>
        <v>2025</v>
      </c>
      <c r="L99" s="262">
        <f t="shared" si="35"/>
        <v>2026</v>
      </c>
      <c r="M99" s="262">
        <f t="shared" si="35"/>
        <v>2027</v>
      </c>
      <c r="N99" s="262">
        <f t="shared" si="35"/>
        <v>2028</v>
      </c>
      <c r="O99" s="262">
        <f t="shared" si="35"/>
        <v>2029</v>
      </c>
      <c r="P99" s="262">
        <f t="shared" si="35"/>
        <v>2030</v>
      </c>
      <c r="Q99" s="262">
        <f t="shared" si="35"/>
        <v>2031</v>
      </c>
      <c r="R99" s="262">
        <f t="shared" si="35"/>
        <v>2032</v>
      </c>
      <c r="S99" s="262">
        <f t="shared" si="35"/>
        <v>2033</v>
      </c>
      <c r="T99" s="262">
        <f t="shared" si="35"/>
        <v>2034</v>
      </c>
      <c r="U99" s="262">
        <f t="shared" si="35"/>
        <v>2035</v>
      </c>
      <c r="V99" s="262">
        <f t="shared" si="35"/>
        <v>2036</v>
      </c>
      <c r="W99" s="262">
        <f t="shared" si="35"/>
        <v>2037</v>
      </c>
      <c r="X99" s="262">
        <f t="shared" si="35"/>
        <v>2038</v>
      </c>
      <c r="Y99" s="262">
        <f t="shared" si="35"/>
        <v>2039</v>
      </c>
      <c r="Z99" s="262">
        <f t="shared" si="35"/>
        <v>2040</v>
      </c>
      <c r="AA99" s="262">
        <f t="shared" si="35"/>
        <v>2041</v>
      </c>
      <c r="AB99" s="262">
        <f t="shared" si="35"/>
        <v>2042</v>
      </c>
      <c r="AC99" s="262">
        <f t="shared" si="35"/>
        <v>2043</v>
      </c>
      <c r="AD99" s="262">
        <f t="shared" si="35"/>
        <v>2044</v>
      </c>
      <c r="AE99" s="262">
        <f t="shared" si="35"/>
        <v>2045</v>
      </c>
      <c r="AF99" s="262">
        <f t="shared" si="35"/>
        <v>2046</v>
      </c>
      <c r="AG99" s="262">
        <f t="shared" si="35"/>
        <v>2047</v>
      </c>
      <c r="AH99" s="235"/>
      <c r="AI99" s="235"/>
      <c r="AJ99" s="235"/>
      <c r="AK99" s="235"/>
      <c r="AL99" s="235"/>
      <c r="AM99" s="235"/>
      <c r="AN99" s="235"/>
      <c r="AO99" s="235"/>
    </row>
    <row r="100" spans="1:53" ht="12.75" hidden="1" x14ac:dyDescent="0.2">
      <c r="A100" s="263" t="s">
        <v>537</v>
      </c>
      <c r="B100" s="264"/>
      <c r="C100" s="264">
        <f>C101*$B$103*$C$104*1000</f>
        <v>5742605.1026520003</v>
      </c>
      <c r="D100" s="264">
        <f>D101*$B$103*$D$104*1000</f>
        <v>11790418.498848001</v>
      </c>
      <c r="E100" s="264">
        <f>E101*$B$103*$E$104*1000</f>
        <v>19357530.012000002</v>
      </c>
      <c r="F100" s="264">
        <f>F101*$B$103*$E$104*1000</f>
        <v>19357530.012000002</v>
      </c>
      <c r="G100" s="264">
        <f t="shared" ref="G100:AG100" si="36">G101*$B$103*$E$104*1000</f>
        <v>19357530.012000002</v>
      </c>
      <c r="H100" s="264">
        <f t="shared" si="36"/>
        <v>19357530.012000002</v>
      </c>
      <c r="I100" s="264">
        <f t="shared" si="36"/>
        <v>19357530.012000002</v>
      </c>
      <c r="J100" s="264">
        <f t="shared" si="36"/>
        <v>19357530.012000002</v>
      </c>
      <c r="K100" s="264">
        <f t="shared" si="36"/>
        <v>19357530.012000002</v>
      </c>
      <c r="L100" s="264">
        <f t="shared" si="36"/>
        <v>19357530.012000002</v>
      </c>
      <c r="M100" s="264">
        <f t="shared" si="36"/>
        <v>19357530.012000002</v>
      </c>
      <c r="N100" s="264">
        <f t="shared" si="36"/>
        <v>19357530.012000002</v>
      </c>
      <c r="O100" s="264">
        <f t="shared" si="36"/>
        <v>19357530.012000002</v>
      </c>
      <c r="P100" s="264">
        <f t="shared" si="36"/>
        <v>19357530.012000002</v>
      </c>
      <c r="Q100" s="264">
        <f t="shared" si="36"/>
        <v>19357530.012000002</v>
      </c>
      <c r="R100" s="264">
        <f t="shared" si="36"/>
        <v>19357530.012000002</v>
      </c>
      <c r="S100" s="264">
        <f t="shared" si="36"/>
        <v>19357530.012000002</v>
      </c>
      <c r="T100" s="264">
        <f t="shared" si="36"/>
        <v>19357530.012000002</v>
      </c>
      <c r="U100" s="264">
        <f t="shared" si="36"/>
        <v>19357530.012000002</v>
      </c>
      <c r="V100" s="264">
        <f t="shared" si="36"/>
        <v>19357530.012000002</v>
      </c>
      <c r="W100" s="264">
        <f t="shared" si="36"/>
        <v>19357530.012000002</v>
      </c>
      <c r="X100" s="264">
        <f t="shared" si="36"/>
        <v>19357530.012000002</v>
      </c>
      <c r="Y100" s="264">
        <f t="shared" si="36"/>
        <v>19357530.012000002</v>
      </c>
      <c r="Z100" s="264">
        <f t="shared" si="36"/>
        <v>19357530.012000002</v>
      </c>
      <c r="AA100" s="264">
        <f t="shared" si="36"/>
        <v>19357530.012000002</v>
      </c>
      <c r="AB100" s="264">
        <f t="shared" si="36"/>
        <v>19357530.012000002</v>
      </c>
      <c r="AC100" s="264">
        <f t="shared" si="36"/>
        <v>19357530.012000002</v>
      </c>
      <c r="AD100" s="264">
        <f t="shared" si="36"/>
        <v>19357530.012000002</v>
      </c>
      <c r="AE100" s="264">
        <f t="shared" si="36"/>
        <v>19357530.012000002</v>
      </c>
      <c r="AF100" s="264">
        <f t="shared" si="36"/>
        <v>19357530.012000002</v>
      </c>
      <c r="AG100" s="264">
        <f t="shared" si="36"/>
        <v>19357530.012000002</v>
      </c>
      <c r="AH100" s="235"/>
      <c r="AI100" s="235"/>
      <c r="AJ100" s="235"/>
      <c r="AK100" s="235"/>
      <c r="AL100" s="235"/>
      <c r="AM100" s="235"/>
      <c r="AN100" s="235"/>
      <c r="AO100" s="235"/>
    </row>
    <row r="101" spans="1:53" ht="12.75" hidden="1" x14ac:dyDescent="0.2">
      <c r="A101" s="263" t="s">
        <v>538</v>
      </c>
      <c r="B101" s="262"/>
      <c r="C101" s="262">
        <f>B101+$I$112*C105</f>
        <v>0.93911400000000012</v>
      </c>
      <c r="D101" s="262">
        <f>C101+$I$112*D105</f>
        <v>1.8782280000000002</v>
      </c>
      <c r="E101" s="262">
        <f t="shared" ref="E101:AG101" si="37">D101+$I$112*E105</f>
        <v>2.8458000000000006</v>
      </c>
      <c r="F101" s="262">
        <f t="shared" si="37"/>
        <v>2.8458000000000006</v>
      </c>
      <c r="G101" s="262">
        <f t="shared" si="37"/>
        <v>2.8458000000000006</v>
      </c>
      <c r="H101" s="262">
        <f t="shared" si="37"/>
        <v>2.8458000000000006</v>
      </c>
      <c r="I101" s="262">
        <f t="shared" si="37"/>
        <v>2.8458000000000006</v>
      </c>
      <c r="J101" s="262">
        <f t="shared" si="37"/>
        <v>2.8458000000000006</v>
      </c>
      <c r="K101" s="262">
        <f t="shared" si="37"/>
        <v>2.8458000000000006</v>
      </c>
      <c r="L101" s="262">
        <f t="shared" si="37"/>
        <v>2.8458000000000006</v>
      </c>
      <c r="M101" s="262">
        <f t="shared" si="37"/>
        <v>2.8458000000000006</v>
      </c>
      <c r="N101" s="262">
        <f t="shared" si="37"/>
        <v>2.8458000000000006</v>
      </c>
      <c r="O101" s="262">
        <f t="shared" si="37"/>
        <v>2.8458000000000006</v>
      </c>
      <c r="P101" s="262">
        <f t="shared" si="37"/>
        <v>2.8458000000000006</v>
      </c>
      <c r="Q101" s="262">
        <f t="shared" si="37"/>
        <v>2.8458000000000006</v>
      </c>
      <c r="R101" s="262">
        <f t="shared" si="37"/>
        <v>2.8458000000000006</v>
      </c>
      <c r="S101" s="262">
        <f t="shared" si="37"/>
        <v>2.8458000000000006</v>
      </c>
      <c r="T101" s="262">
        <f t="shared" si="37"/>
        <v>2.8458000000000006</v>
      </c>
      <c r="U101" s="262">
        <f t="shared" si="37"/>
        <v>2.8458000000000006</v>
      </c>
      <c r="V101" s="262">
        <f t="shared" si="37"/>
        <v>2.8458000000000006</v>
      </c>
      <c r="W101" s="262">
        <f t="shared" si="37"/>
        <v>2.8458000000000006</v>
      </c>
      <c r="X101" s="262">
        <f t="shared" si="37"/>
        <v>2.8458000000000006</v>
      </c>
      <c r="Y101" s="262">
        <f t="shared" si="37"/>
        <v>2.8458000000000006</v>
      </c>
      <c r="Z101" s="262">
        <f t="shared" si="37"/>
        <v>2.8458000000000006</v>
      </c>
      <c r="AA101" s="262">
        <f t="shared" si="37"/>
        <v>2.8458000000000006</v>
      </c>
      <c r="AB101" s="262">
        <f t="shared" si="37"/>
        <v>2.8458000000000006</v>
      </c>
      <c r="AC101" s="262">
        <f t="shared" si="37"/>
        <v>2.8458000000000006</v>
      </c>
      <c r="AD101" s="262">
        <f t="shared" si="37"/>
        <v>2.8458000000000006</v>
      </c>
      <c r="AE101" s="262">
        <f t="shared" si="37"/>
        <v>2.8458000000000006</v>
      </c>
      <c r="AF101" s="262">
        <f t="shared" si="37"/>
        <v>2.8458000000000006</v>
      </c>
      <c r="AG101" s="262">
        <f t="shared" si="37"/>
        <v>2.8458000000000006</v>
      </c>
      <c r="AH101" s="235"/>
      <c r="AI101" s="235"/>
      <c r="AJ101" s="235"/>
      <c r="AK101" s="235"/>
      <c r="AL101" s="235"/>
      <c r="AM101" s="235"/>
      <c r="AN101" s="235"/>
      <c r="AO101" s="235"/>
    </row>
    <row r="102" spans="1:53" ht="12.75" hidden="1" x14ac:dyDescent="0.2">
      <c r="A102" s="263" t="s">
        <v>539</v>
      </c>
      <c r="B102" s="265">
        <v>0.93</v>
      </c>
      <c r="C102" s="262"/>
      <c r="D102" s="262"/>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35"/>
      <c r="AI102" s="235"/>
      <c r="AJ102" s="235"/>
      <c r="AK102" s="235"/>
      <c r="AL102" s="235"/>
      <c r="AM102" s="235"/>
      <c r="AN102" s="235"/>
      <c r="AO102" s="235"/>
    </row>
    <row r="103" spans="1:53" ht="12.75" hidden="1" x14ac:dyDescent="0.2">
      <c r="A103" s="263" t="s">
        <v>540</v>
      </c>
      <c r="B103" s="265">
        <v>4380</v>
      </c>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35"/>
      <c r="AI103" s="235"/>
      <c r="AJ103" s="235"/>
      <c r="AK103" s="235"/>
      <c r="AL103" s="235"/>
      <c r="AM103" s="235"/>
      <c r="AN103" s="235"/>
      <c r="AO103" s="235"/>
    </row>
    <row r="104" spans="1:53" ht="12.75" hidden="1" x14ac:dyDescent="0.2">
      <c r="A104" s="263" t="s">
        <v>541</v>
      </c>
      <c r="B104" s="261"/>
      <c r="C104" s="262">
        <v>1.3960999999999999</v>
      </c>
      <c r="D104" s="262">
        <v>1.4332</v>
      </c>
      <c r="E104" s="262">
        <v>1.5529999999999999</v>
      </c>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35"/>
      <c r="AI104" s="235"/>
      <c r="AJ104" s="235"/>
      <c r="AK104" s="235"/>
      <c r="AL104" s="235"/>
      <c r="AM104" s="235"/>
      <c r="AN104" s="235"/>
      <c r="AO104" s="235"/>
    </row>
    <row r="105" spans="1:53" ht="15" hidden="1" x14ac:dyDescent="0.2">
      <c r="A105" s="266" t="s">
        <v>542</v>
      </c>
      <c r="B105" s="267">
        <v>0</v>
      </c>
      <c r="C105" s="268">
        <v>0.33</v>
      </c>
      <c r="D105" s="268">
        <v>0.33</v>
      </c>
      <c r="E105" s="268">
        <v>0.34</v>
      </c>
      <c r="F105" s="267">
        <v>0</v>
      </c>
      <c r="G105" s="267">
        <v>0</v>
      </c>
      <c r="H105" s="267">
        <v>0</v>
      </c>
      <c r="I105" s="267">
        <v>0</v>
      </c>
      <c r="J105" s="267">
        <v>0</v>
      </c>
      <c r="K105" s="267">
        <v>0</v>
      </c>
      <c r="L105" s="267">
        <v>0</v>
      </c>
      <c r="M105" s="267">
        <v>0</v>
      </c>
      <c r="N105" s="267">
        <v>0</v>
      </c>
      <c r="O105" s="267">
        <v>0</v>
      </c>
      <c r="P105" s="267">
        <v>0</v>
      </c>
      <c r="Q105" s="267">
        <v>0</v>
      </c>
      <c r="R105" s="267">
        <v>0</v>
      </c>
      <c r="S105" s="267">
        <v>0</v>
      </c>
      <c r="T105" s="267">
        <v>0</v>
      </c>
      <c r="U105" s="267">
        <v>0</v>
      </c>
      <c r="V105" s="267">
        <v>0</v>
      </c>
      <c r="W105" s="267">
        <v>0</v>
      </c>
      <c r="X105" s="267">
        <v>0</v>
      </c>
      <c r="Y105" s="267">
        <v>0</v>
      </c>
      <c r="Z105" s="267">
        <v>0</v>
      </c>
      <c r="AA105" s="267">
        <v>0</v>
      </c>
      <c r="AB105" s="267">
        <v>0</v>
      </c>
      <c r="AC105" s="267">
        <v>0</v>
      </c>
      <c r="AD105" s="267">
        <v>0</v>
      </c>
      <c r="AE105" s="267">
        <v>0</v>
      </c>
      <c r="AF105" s="267">
        <v>0</v>
      </c>
      <c r="AG105" s="267">
        <v>0</v>
      </c>
      <c r="AH105" s="235"/>
      <c r="AI105" s="235"/>
      <c r="AJ105" s="235"/>
      <c r="AK105" s="235"/>
      <c r="AL105" s="235"/>
      <c r="AM105" s="235"/>
      <c r="AN105" s="235"/>
      <c r="AO105" s="235"/>
    </row>
    <row r="106" spans="1:53" ht="12.75" hidden="1" x14ac:dyDescent="0.2">
      <c r="A106" s="238"/>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6"/>
      <c r="AR106" s="236"/>
      <c r="AS106" s="236"/>
      <c r="AT106" s="236"/>
      <c r="AU106" s="236"/>
      <c r="AV106" s="236"/>
      <c r="AW106" s="236"/>
      <c r="AX106" s="236"/>
      <c r="AY106" s="236"/>
      <c r="AZ106" s="236"/>
      <c r="BA106" s="236"/>
    </row>
    <row r="107" spans="1:53" ht="12.75" hidden="1" x14ac:dyDescent="0.2">
      <c r="A107" s="238"/>
      <c r="B107" s="236"/>
      <c r="C107" s="236"/>
      <c r="D107" s="236"/>
      <c r="E107" s="236"/>
      <c r="F107" s="236"/>
      <c r="G107" s="236"/>
      <c r="H107" s="236"/>
      <c r="I107" s="236"/>
      <c r="J107" s="236"/>
      <c r="K107" s="236"/>
      <c r="L107" s="236"/>
      <c r="M107" s="236"/>
      <c r="N107" s="236"/>
      <c r="O107" s="236"/>
      <c r="P107" s="236"/>
      <c r="Q107" s="236"/>
      <c r="R107" s="236"/>
      <c r="S107" s="236"/>
      <c r="T107" s="236"/>
      <c r="U107" s="236"/>
      <c r="V107" s="236"/>
      <c r="W107" s="236"/>
      <c r="X107" s="236"/>
      <c r="Y107" s="236"/>
      <c r="Z107" s="236"/>
      <c r="AA107" s="236"/>
      <c r="AB107" s="236"/>
      <c r="AC107" s="236"/>
      <c r="AD107" s="236"/>
      <c r="AE107" s="236"/>
      <c r="AF107" s="236"/>
      <c r="AG107" s="236"/>
      <c r="AH107" s="236"/>
      <c r="AI107" s="236"/>
      <c r="AJ107" s="236"/>
      <c r="AK107" s="236"/>
      <c r="AL107" s="236"/>
      <c r="AM107" s="236"/>
      <c r="AN107" s="236"/>
      <c r="AO107" s="236"/>
      <c r="AP107" s="236"/>
      <c r="AQ107" s="236"/>
      <c r="AR107" s="236"/>
      <c r="AS107" s="236"/>
      <c r="AT107" s="236"/>
      <c r="AU107" s="236"/>
      <c r="AV107" s="236"/>
      <c r="AW107" s="236"/>
      <c r="AX107" s="236"/>
      <c r="AY107" s="236"/>
      <c r="AZ107" s="236"/>
      <c r="BA107" s="236"/>
    </row>
    <row r="108" spans="1:53" ht="12.75" hidden="1" x14ac:dyDescent="0.2">
      <c r="A108" s="260"/>
      <c r="B108" s="449" t="s">
        <v>543</v>
      </c>
      <c r="C108" s="450"/>
      <c r="D108" s="449" t="s">
        <v>544</v>
      </c>
      <c r="E108" s="450"/>
      <c r="F108" s="260"/>
      <c r="G108" s="260"/>
      <c r="H108" s="260"/>
      <c r="I108" s="260"/>
      <c r="J108" s="260"/>
      <c r="K108" s="236"/>
      <c r="L108" s="236"/>
      <c r="M108" s="236"/>
      <c r="N108" s="236"/>
      <c r="O108" s="236"/>
      <c r="P108" s="236"/>
      <c r="Q108" s="236"/>
      <c r="R108" s="236"/>
      <c r="S108" s="236"/>
      <c r="T108" s="236"/>
      <c r="U108" s="236"/>
      <c r="V108" s="236"/>
      <c r="W108" s="236"/>
      <c r="X108" s="236"/>
      <c r="Y108" s="236"/>
      <c r="Z108" s="236"/>
      <c r="AA108" s="236"/>
      <c r="AB108" s="236"/>
      <c r="AC108" s="236"/>
      <c r="AD108" s="236"/>
      <c r="AE108" s="236"/>
      <c r="AF108" s="236"/>
      <c r="AG108" s="236"/>
      <c r="AH108" s="236"/>
      <c r="AI108" s="236"/>
      <c r="AJ108" s="236"/>
      <c r="AK108" s="236"/>
      <c r="AL108" s="236"/>
      <c r="AM108" s="236"/>
      <c r="AN108" s="236"/>
      <c r="AO108" s="236"/>
      <c r="AP108" s="236"/>
      <c r="AQ108" s="236"/>
      <c r="AR108" s="236"/>
      <c r="AS108" s="236"/>
      <c r="AT108" s="236"/>
      <c r="AU108" s="236"/>
      <c r="AV108" s="236"/>
      <c r="AW108" s="236"/>
      <c r="AX108" s="236"/>
      <c r="AY108" s="236"/>
      <c r="AZ108" s="236"/>
      <c r="BA108" s="236"/>
    </row>
    <row r="109" spans="1:53" ht="12.75" hidden="1" x14ac:dyDescent="0.2">
      <c r="A109" s="263" t="s">
        <v>545</v>
      </c>
      <c r="B109" s="269"/>
      <c r="C109" s="260" t="s">
        <v>546</v>
      </c>
      <c r="D109" s="269">
        <v>3.06</v>
      </c>
      <c r="E109" s="260" t="s">
        <v>546</v>
      </c>
      <c r="F109" s="260"/>
      <c r="G109" s="260"/>
      <c r="H109" s="260"/>
      <c r="I109" s="260"/>
      <c r="J109" s="260"/>
      <c r="K109" s="236"/>
      <c r="L109" s="236"/>
      <c r="M109" s="236"/>
      <c r="N109" s="236"/>
      <c r="O109" s="236"/>
      <c r="P109" s="236"/>
      <c r="Q109" s="236"/>
      <c r="R109" s="236"/>
      <c r="S109" s="236"/>
      <c r="T109" s="236"/>
      <c r="U109" s="236"/>
      <c r="V109" s="236"/>
      <c r="W109" s="236"/>
      <c r="X109" s="236"/>
      <c r="Y109" s="236"/>
      <c r="Z109" s="236"/>
      <c r="AA109" s="236"/>
      <c r="AB109" s="236"/>
      <c r="AC109" s="236"/>
      <c r="AD109" s="236"/>
      <c r="AE109" s="236"/>
      <c r="AF109" s="236"/>
      <c r="AG109" s="236"/>
      <c r="AH109" s="236"/>
      <c r="AI109" s="236"/>
      <c r="AJ109" s="236"/>
      <c r="AK109" s="236"/>
      <c r="AL109" s="236"/>
      <c r="AM109" s="236"/>
      <c r="AN109" s="236"/>
      <c r="AO109" s="236"/>
      <c r="AP109" s="236"/>
      <c r="AQ109" s="236"/>
      <c r="AR109" s="236"/>
      <c r="AS109" s="236"/>
      <c r="AT109" s="236"/>
      <c r="AU109" s="236"/>
      <c r="AV109" s="236"/>
      <c r="AW109" s="236"/>
      <c r="AX109" s="236"/>
      <c r="AY109" s="236"/>
      <c r="AZ109" s="236"/>
      <c r="BA109" s="236"/>
    </row>
    <row r="110" spans="1:53" ht="25.5" hidden="1" x14ac:dyDescent="0.2">
      <c r="A110" s="263" t="s">
        <v>545</v>
      </c>
      <c r="B110" s="260">
        <f>$B$102*B109</f>
        <v>0</v>
      </c>
      <c r="C110" s="260" t="s">
        <v>126</v>
      </c>
      <c r="D110" s="260">
        <f>$B$102*D109</f>
        <v>2.8458000000000001</v>
      </c>
      <c r="E110" s="260" t="s">
        <v>126</v>
      </c>
      <c r="F110" s="263" t="s">
        <v>547</v>
      </c>
      <c r="G110" s="260">
        <f>D109-B109</f>
        <v>3.06</v>
      </c>
      <c r="H110" s="260" t="s">
        <v>546</v>
      </c>
      <c r="I110" s="270">
        <f>$B$102*G110</f>
        <v>2.8458000000000001</v>
      </c>
      <c r="J110" s="260" t="s">
        <v>126</v>
      </c>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c r="AK110" s="236"/>
      <c r="AL110" s="236"/>
      <c r="AM110" s="236"/>
      <c r="AN110" s="236"/>
      <c r="AO110" s="236"/>
      <c r="AP110" s="236"/>
      <c r="AQ110" s="236"/>
      <c r="AR110" s="236"/>
      <c r="AS110" s="236"/>
      <c r="AT110" s="236"/>
      <c r="AU110" s="236"/>
      <c r="AV110" s="236"/>
      <c r="AW110" s="236"/>
      <c r="AX110" s="236"/>
      <c r="AY110" s="236"/>
      <c r="AZ110" s="236"/>
      <c r="BA110" s="236"/>
    </row>
    <row r="111" spans="1:53" ht="25.5" hidden="1" x14ac:dyDescent="0.2">
      <c r="A111" s="260"/>
      <c r="B111" s="260"/>
      <c r="C111" s="260"/>
      <c r="D111" s="260"/>
      <c r="E111" s="260"/>
      <c r="F111" s="263" t="s">
        <v>548</v>
      </c>
      <c r="G111" s="260">
        <f>I111/$B$102</f>
        <v>0</v>
      </c>
      <c r="H111" s="260" t="s">
        <v>546</v>
      </c>
      <c r="I111" s="269"/>
      <c r="J111" s="260" t="s">
        <v>126</v>
      </c>
      <c r="K111" s="236"/>
      <c r="L111" s="236"/>
      <c r="M111" s="236"/>
      <c r="N111" s="236"/>
      <c r="O111" s="236"/>
      <c r="P111" s="236"/>
      <c r="Q111" s="236"/>
      <c r="R111" s="236"/>
      <c r="S111" s="236"/>
      <c r="T111" s="236"/>
      <c r="U111" s="236"/>
      <c r="V111" s="236"/>
      <c r="W111" s="236"/>
      <c r="X111" s="236"/>
      <c r="Y111" s="236"/>
      <c r="Z111" s="236"/>
      <c r="AA111" s="236"/>
      <c r="AB111" s="236"/>
      <c r="AC111" s="236"/>
      <c r="AD111" s="236"/>
      <c r="AE111" s="236"/>
      <c r="AF111" s="236"/>
      <c r="AG111" s="236"/>
      <c r="AH111" s="236"/>
      <c r="AI111" s="236"/>
      <c r="AJ111" s="236"/>
      <c r="AK111" s="236"/>
      <c r="AL111" s="236"/>
      <c r="AM111" s="236"/>
      <c r="AN111" s="236"/>
      <c r="AO111" s="236"/>
      <c r="AP111" s="236"/>
      <c r="AQ111" s="236"/>
      <c r="AR111" s="236"/>
      <c r="AS111" s="236"/>
      <c r="AT111" s="236"/>
      <c r="AU111" s="236"/>
      <c r="AV111" s="236"/>
      <c r="AW111" s="236"/>
      <c r="AX111" s="236"/>
      <c r="AY111" s="236"/>
      <c r="AZ111" s="236"/>
      <c r="BA111" s="236"/>
    </row>
    <row r="112" spans="1:53" ht="38.25" hidden="1" x14ac:dyDescent="0.2">
      <c r="A112" s="271"/>
      <c r="B112" s="272"/>
      <c r="C112" s="272"/>
      <c r="D112" s="272"/>
      <c r="E112" s="272"/>
      <c r="F112" s="273" t="s">
        <v>549</v>
      </c>
      <c r="G112" s="270">
        <f>G110</f>
        <v>3.06</v>
      </c>
      <c r="H112" s="260" t="s">
        <v>546</v>
      </c>
      <c r="I112" s="265">
        <f>I110</f>
        <v>2.8458000000000001</v>
      </c>
      <c r="J112" s="260" t="s">
        <v>126</v>
      </c>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c r="AQ112" s="236"/>
      <c r="AR112" s="236"/>
      <c r="AS112" s="236"/>
      <c r="AT112" s="236"/>
      <c r="AU112" s="236"/>
      <c r="AV112" s="236"/>
      <c r="AW112" s="236"/>
      <c r="AX112" s="236"/>
      <c r="AY112" s="236"/>
      <c r="AZ112" s="236"/>
      <c r="BA112" s="236"/>
    </row>
    <row r="113" spans="1:53" ht="12.75" hidden="1" x14ac:dyDescent="0.2">
      <c r="A113" s="239"/>
      <c r="B113" s="237"/>
      <c r="C113" s="236"/>
      <c r="D113" s="236"/>
      <c r="E113" s="236"/>
      <c r="F113" s="236"/>
      <c r="G113" s="236"/>
      <c r="H113" s="236"/>
      <c r="I113" s="236"/>
      <c r="J113" s="236"/>
      <c r="K113" s="236"/>
      <c r="L113" s="236"/>
      <c r="M113" s="236"/>
      <c r="N113" s="236"/>
      <c r="O113" s="236"/>
      <c r="P113" s="236"/>
      <c r="Q113" s="236"/>
      <c r="R113" s="236"/>
      <c r="S113" s="236"/>
      <c r="T113" s="236"/>
      <c r="U113" s="236"/>
      <c r="V113" s="236"/>
      <c r="W113" s="236"/>
      <c r="X113" s="236"/>
      <c r="Y113" s="236"/>
      <c r="Z113" s="236"/>
      <c r="AA113" s="236"/>
      <c r="AB113" s="236"/>
      <c r="AC113" s="236"/>
      <c r="AD113" s="236"/>
      <c r="AE113" s="236"/>
      <c r="AF113" s="236"/>
      <c r="AG113" s="236"/>
      <c r="AH113" s="236"/>
      <c r="AI113" s="236"/>
      <c r="AJ113" s="236"/>
      <c r="AK113" s="236"/>
      <c r="AL113" s="236"/>
      <c r="AM113" s="236"/>
      <c r="AN113" s="236"/>
      <c r="AO113" s="236"/>
      <c r="AP113" s="236"/>
      <c r="AQ113" s="236"/>
      <c r="AR113" s="236"/>
      <c r="AS113" s="236"/>
      <c r="AT113" s="236"/>
      <c r="AU113" s="236"/>
      <c r="AV113" s="236"/>
      <c r="AW113" s="236"/>
      <c r="AX113" s="236"/>
      <c r="AY113" s="236"/>
      <c r="AZ113" s="236"/>
      <c r="BA113" s="236"/>
    </row>
    <row r="114" spans="1:53" ht="12.75" hidden="1" x14ac:dyDescent="0.2">
      <c r="A114" s="239"/>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P114" s="237"/>
      <c r="AQ114" s="237"/>
      <c r="AR114" s="237"/>
      <c r="AS114" s="237"/>
      <c r="AT114" s="237"/>
      <c r="AU114" s="237"/>
      <c r="AV114" s="237"/>
      <c r="AW114" s="237"/>
      <c r="AX114" s="237"/>
      <c r="AY114" s="237"/>
      <c r="AZ114" s="237"/>
      <c r="BA114" s="237"/>
    </row>
    <row r="115" spans="1:53" hidden="1" x14ac:dyDescent="0.2">
      <c r="A115" s="274" t="s">
        <v>550</v>
      </c>
      <c r="C115" s="240" t="s">
        <v>551</v>
      </c>
      <c r="D115" s="240"/>
      <c r="E115" s="240"/>
      <c r="F115" s="240"/>
      <c r="G115" s="240"/>
      <c r="H115" s="240"/>
      <c r="I115" s="240"/>
      <c r="J115" s="240"/>
      <c r="K115" s="240"/>
      <c r="L115" s="240"/>
      <c r="M115" s="240"/>
      <c r="N115" s="240"/>
      <c r="O115" s="240"/>
      <c r="P115" s="240"/>
      <c r="Q115" s="240"/>
      <c r="R115" s="240"/>
      <c r="S115" s="240"/>
      <c r="T115" s="240"/>
      <c r="U115" s="240"/>
      <c r="V115" s="240"/>
      <c r="W115" s="240"/>
      <c r="X115" s="240"/>
      <c r="Y115" s="240"/>
      <c r="Z115" s="240"/>
      <c r="AA115" s="240"/>
      <c r="AB115" s="240"/>
      <c r="AC115" s="240"/>
      <c r="AD115" s="240"/>
      <c r="AE115" s="240"/>
      <c r="AF115" s="240"/>
      <c r="AG115" s="240"/>
      <c r="AP115" s="240"/>
      <c r="AQ115" s="240"/>
      <c r="AR115" s="240"/>
      <c r="AS115" s="240"/>
      <c r="AT115" s="240"/>
      <c r="AU115" s="240"/>
      <c r="AV115" s="240"/>
      <c r="AW115" s="240"/>
      <c r="AX115" s="240"/>
      <c r="AY115" s="240"/>
      <c r="AZ115" s="240"/>
      <c r="BA115" s="240"/>
    </row>
    <row r="116" spans="1:53" ht="12.75" hidden="1" x14ac:dyDescent="0.2">
      <c r="A116" s="274"/>
      <c r="B116" s="275">
        <v>2016</v>
      </c>
      <c r="C116" s="275">
        <f>B116+1</f>
        <v>2017</v>
      </c>
      <c r="D116" s="275">
        <f t="shared" ref="D116:AG116" si="38">C116+1</f>
        <v>2018</v>
      </c>
      <c r="E116" s="275">
        <f t="shared" si="38"/>
        <v>2019</v>
      </c>
      <c r="F116" s="275">
        <f t="shared" si="38"/>
        <v>2020</v>
      </c>
      <c r="G116" s="275">
        <f t="shared" si="38"/>
        <v>2021</v>
      </c>
      <c r="H116" s="275">
        <f t="shared" si="38"/>
        <v>2022</v>
      </c>
      <c r="I116" s="275">
        <f t="shared" si="38"/>
        <v>2023</v>
      </c>
      <c r="J116" s="275">
        <f t="shared" si="38"/>
        <v>2024</v>
      </c>
      <c r="K116" s="275">
        <f t="shared" si="38"/>
        <v>2025</v>
      </c>
      <c r="L116" s="275">
        <f t="shared" si="38"/>
        <v>2026</v>
      </c>
      <c r="M116" s="275">
        <f t="shared" si="38"/>
        <v>2027</v>
      </c>
      <c r="N116" s="275">
        <f t="shared" si="38"/>
        <v>2028</v>
      </c>
      <c r="O116" s="275">
        <f t="shared" si="38"/>
        <v>2029</v>
      </c>
      <c r="P116" s="275">
        <f t="shared" si="38"/>
        <v>2030</v>
      </c>
      <c r="Q116" s="275">
        <f t="shared" si="38"/>
        <v>2031</v>
      </c>
      <c r="R116" s="275">
        <f t="shared" si="38"/>
        <v>2032</v>
      </c>
      <c r="S116" s="275">
        <f t="shared" si="38"/>
        <v>2033</v>
      </c>
      <c r="T116" s="275">
        <f t="shared" si="38"/>
        <v>2034</v>
      </c>
      <c r="U116" s="275">
        <f t="shared" si="38"/>
        <v>2035</v>
      </c>
      <c r="V116" s="275">
        <f t="shared" si="38"/>
        <v>2036</v>
      </c>
      <c r="W116" s="275">
        <f t="shared" si="38"/>
        <v>2037</v>
      </c>
      <c r="X116" s="275">
        <f t="shared" si="38"/>
        <v>2038</v>
      </c>
      <c r="Y116" s="275">
        <f t="shared" si="38"/>
        <v>2039</v>
      </c>
      <c r="Z116" s="275">
        <f t="shared" si="38"/>
        <v>2040</v>
      </c>
      <c r="AA116" s="275">
        <f t="shared" si="38"/>
        <v>2041</v>
      </c>
      <c r="AB116" s="275">
        <f t="shared" si="38"/>
        <v>2042</v>
      </c>
      <c r="AC116" s="275">
        <f t="shared" si="38"/>
        <v>2043</v>
      </c>
      <c r="AD116" s="275">
        <f t="shared" si="38"/>
        <v>2044</v>
      </c>
      <c r="AE116" s="275">
        <f t="shared" si="38"/>
        <v>2045</v>
      </c>
      <c r="AF116" s="275">
        <f t="shared" si="38"/>
        <v>2046</v>
      </c>
      <c r="AG116" s="275">
        <f t="shared" si="38"/>
        <v>2047</v>
      </c>
    </row>
    <row r="117" spans="1:53" ht="12.75" hidden="1" x14ac:dyDescent="0.2">
      <c r="A117" s="274" t="s">
        <v>552</v>
      </c>
      <c r="B117" s="275"/>
      <c r="C117" s="276">
        <v>0</v>
      </c>
      <c r="D117" s="276">
        <v>0</v>
      </c>
      <c r="E117" s="277">
        <v>0.05</v>
      </c>
      <c r="F117" s="277">
        <v>4.3999999999999997E-2</v>
      </c>
      <c r="G117" s="277">
        <v>4.2000000000000003E-2</v>
      </c>
      <c r="H117" s="277">
        <v>4.2999999999999997E-2</v>
      </c>
      <c r="I117" s="277">
        <v>4.3999999999999997E-2</v>
      </c>
      <c r="J117" s="277">
        <v>4.3999999999999997E-2</v>
      </c>
      <c r="K117" s="277">
        <v>4.2999999999999997E-2</v>
      </c>
      <c r="L117" s="277">
        <v>4.2000000000000003E-2</v>
      </c>
      <c r="M117" s="277">
        <v>4.1000000000000002E-2</v>
      </c>
      <c r="N117" s="277">
        <v>0.04</v>
      </c>
      <c r="O117" s="277">
        <f t="shared" ref="O117:AG117" si="39">N117</f>
        <v>0.04</v>
      </c>
      <c r="P117" s="277">
        <f t="shared" si="39"/>
        <v>0.04</v>
      </c>
      <c r="Q117" s="277">
        <f t="shared" si="39"/>
        <v>0.04</v>
      </c>
      <c r="R117" s="277">
        <f t="shared" si="39"/>
        <v>0.04</v>
      </c>
      <c r="S117" s="277">
        <f t="shared" si="39"/>
        <v>0.04</v>
      </c>
      <c r="T117" s="277">
        <f t="shared" si="39"/>
        <v>0.04</v>
      </c>
      <c r="U117" s="277">
        <f t="shared" si="39"/>
        <v>0.04</v>
      </c>
      <c r="V117" s="277">
        <f t="shared" si="39"/>
        <v>0.04</v>
      </c>
      <c r="W117" s="277">
        <f t="shared" si="39"/>
        <v>0.04</v>
      </c>
      <c r="X117" s="277">
        <f t="shared" si="39"/>
        <v>0.04</v>
      </c>
      <c r="Y117" s="277">
        <f t="shared" si="39"/>
        <v>0.04</v>
      </c>
      <c r="Z117" s="277">
        <f t="shared" si="39"/>
        <v>0.04</v>
      </c>
      <c r="AA117" s="277">
        <f t="shared" si="39"/>
        <v>0.04</v>
      </c>
      <c r="AB117" s="277">
        <f t="shared" si="39"/>
        <v>0.04</v>
      </c>
      <c r="AC117" s="277">
        <f t="shared" si="39"/>
        <v>0.04</v>
      </c>
      <c r="AD117" s="277">
        <f t="shared" si="39"/>
        <v>0.04</v>
      </c>
      <c r="AE117" s="277">
        <f t="shared" si="39"/>
        <v>0.04</v>
      </c>
      <c r="AF117" s="277">
        <f t="shared" si="39"/>
        <v>0.04</v>
      </c>
      <c r="AG117" s="277">
        <f t="shared" si="39"/>
        <v>0.04</v>
      </c>
    </row>
    <row r="118" spans="1:53" s="209" customFormat="1" ht="15" hidden="1" x14ac:dyDescent="0.2">
      <c r="A118" s="274" t="s">
        <v>553</v>
      </c>
      <c r="B118" s="278"/>
      <c r="C118" s="254">
        <f>(1+B118)*(1+C117)-1</f>
        <v>0</v>
      </c>
      <c r="D118" s="254">
        <f t="shared" ref="D118:AG118" si="40">(1+C118)*(1+D117)-1</f>
        <v>0</v>
      </c>
      <c r="E118" s="254">
        <f t="shared" si="40"/>
        <v>5.0000000000000044E-2</v>
      </c>
      <c r="F118" s="254">
        <f t="shared" si="40"/>
        <v>9.6200000000000063E-2</v>
      </c>
      <c r="G118" s="254">
        <f t="shared" si="40"/>
        <v>0.14224040000000016</v>
      </c>
      <c r="H118" s="254">
        <f t="shared" si="40"/>
        <v>0.19135673720000002</v>
      </c>
      <c r="I118" s="254">
        <f t="shared" si="40"/>
        <v>0.24377643363680002</v>
      </c>
      <c r="J118" s="254">
        <f t="shared" si="40"/>
        <v>0.29850259671681934</v>
      </c>
      <c r="K118" s="254">
        <f t="shared" si="40"/>
        <v>0.35433820837564256</v>
      </c>
      <c r="L118" s="254">
        <f t="shared" si="40"/>
        <v>0.41122041312741953</v>
      </c>
      <c r="M118" s="254">
        <f t="shared" si="40"/>
        <v>0.46908045006564358</v>
      </c>
      <c r="N118" s="254">
        <f t="shared" si="40"/>
        <v>0.52784366806826943</v>
      </c>
      <c r="O118" s="254">
        <f t="shared" si="40"/>
        <v>0.58895741479100017</v>
      </c>
      <c r="P118" s="254">
        <f t="shared" si="40"/>
        <v>0.65251571138264031</v>
      </c>
      <c r="Q118" s="254">
        <f t="shared" si="40"/>
        <v>0.71861633983794593</v>
      </c>
      <c r="R118" s="254">
        <f t="shared" si="40"/>
        <v>0.78736099343146382</v>
      </c>
      <c r="S118" s="254">
        <f t="shared" si="40"/>
        <v>0.85885543316872237</v>
      </c>
      <c r="T118" s="254">
        <f t="shared" si="40"/>
        <v>0.93320965049547122</v>
      </c>
      <c r="U118" s="254">
        <f t="shared" si="40"/>
        <v>1.0105380365152903</v>
      </c>
      <c r="V118" s="254">
        <f t="shared" si="40"/>
        <v>1.0909595579759022</v>
      </c>
      <c r="W118" s="254">
        <f t="shared" si="40"/>
        <v>1.1745979402949382</v>
      </c>
      <c r="X118" s="254">
        <f t="shared" si="40"/>
        <v>1.2615818579067359</v>
      </c>
      <c r="Y118" s="254">
        <f t="shared" si="40"/>
        <v>1.3520451322230054</v>
      </c>
      <c r="Z118" s="254">
        <f t="shared" si="40"/>
        <v>1.4461269375119259</v>
      </c>
      <c r="AA118" s="254">
        <f t="shared" si="40"/>
        <v>1.543972015012403</v>
      </c>
      <c r="AB118" s="254">
        <f t="shared" si="40"/>
        <v>1.6457308956128993</v>
      </c>
      <c r="AC118" s="254">
        <f t="shared" si="40"/>
        <v>1.7515601314374152</v>
      </c>
      <c r="AD118" s="254">
        <f t="shared" si="40"/>
        <v>1.8616225366949117</v>
      </c>
      <c r="AE118" s="254">
        <f t="shared" si="40"/>
        <v>1.9760874381627085</v>
      </c>
      <c r="AF118" s="254">
        <f t="shared" si="40"/>
        <v>2.0951309356892169</v>
      </c>
      <c r="AG118" s="254">
        <f t="shared" si="40"/>
        <v>2.2189361731167856</v>
      </c>
    </row>
    <row r="119" spans="1:53" s="209" customFormat="1" hidden="1" x14ac:dyDescent="0.2">
      <c r="A119" s="241"/>
      <c r="B119" s="278"/>
      <c r="C119" s="279"/>
      <c r="D119" s="279"/>
      <c r="E119" s="279"/>
      <c r="F119" s="279"/>
      <c r="G119" s="279"/>
      <c r="H119" s="279"/>
      <c r="I119" s="279"/>
      <c r="J119" s="279"/>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row>
    <row r="120" spans="1:53" ht="12.75" hidden="1" x14ac:dyDescent="0.2">
      <c r="A120" s="239"/>
      <c r="B120" s="275">
        <v>2016</v>
      </c>
      <c r="C120" s="275">
        <f>B120+1</f>
        <v>2017</v>
      </c>
      <c r="D120" s="275">
        <f t="shared" ref="D120:AG121" si="41">C120+1</f>
        <v>2018</v>
      </c>
      <c r="E120" s="275">
        <f t="shared" si="41"/>
        <v>2019</v>
      </c>
      <c r="F120" s="275">
        <f t="shared" si="41"/>
        <v>2020</v>
      </c>
      <c r="G120" s="275">
        <f t="shared" si="41"/>
        <v>2021</v>
      </c>
      <c r="H120" s="275">
        <f t="shared" si="41"/>
        <v>2022</v>
      </c>
      <c r="I120" s="275">
        <f t="shared" si="41"/>
        <v>2023</v>
      </c>
      <c r="J120" s="275">
        <f t="shared" si="41"/>
        <v>2024</v>
      </c>
      <c r="K120" s="275">
        <f t="shared" si="41"/>
        <v>2025</v>
      </c>
      <c r="L120" s="275">
        <f t="shared" si="41"/>
        <v>2026</v>
      </c>
      <c r="M120" s="275">
        <f t="shared" si="41"/>
        <v>2027</v>
      </c>
      <c r="N120" s="275">
        <f t="shared" si="41"/>
        <v>2028</v>
      </c>
      <c r="O120" s="275">
        <f t="shared" si="41"/>
        <v>2029</v>
      </c>
      <c r="P120" s="275">
        <f t="shared" si="41"/>
        <v>2030</v>
      </c>
      <c r="Q120" s="275">
        <f t="shared" si="41"/>
        <v>2031</v>
      </c>
      <c r="R120" s="275">
        <f t="shared" si="41"/>
        <v>2032</v>
      </c>
      <c r="S120" s="275">
        <f t="shared" si="41"/>
        <v>2033</v>
      </c>
      <c r="T120" s="275">
        <f t="shared" si="41"/>
        <v>2034</v>
      </c>
      <c r="U120" s="275">
        <f t="shared" si="41"/>
        <v>2035</v>
      </c>
      <c r="V120" s="275">
        <f t="shared" si="41"/>
        <v>2036</v>
      </c>
      <c r="W120" s="275">
        <f t="shared" si="41"/>
        <v>2037</v>
      </c>
      <c r="X120" s="275">
        <f t="shared" si="41"/>
        <v>2038</v>
      </c>
      <c r="Y120" s="275">
        <f t="shared" si="41"/>
        <v>2039</v>
      </c>
      <c r="Z120" s="275">
        <f t="shared" si="41"/>
        <v>2040</v>
      </c>
      <c r="AA120" s="275">
        <f t="shared" si="41"/>
        <v>2041</v>
      </c>
      <c r="AB120" s="275">
        <f t="shared" si="41"/>
        <v>2042</v>
      </c>
      <c r="AC120" s="275">
        <f t="shared" si="41"/>
        <v>2043</v>
      </c>
      <c r="AD120" s="275">
        <f t="shared" si="41"/>
        <v>2044</v>
      </c>
      <c r="AE120" s="275">
        <f t="shared" si="41"/>
        <v>2045</v>
      </c>
      <c r="AF120" s="275">
        <f t="shared" si="41"/>
        <v>2046</v>
      </c>
      <c r="AG120" s="275">
        <f t="shared" si="41"/>
        <v>2047</v>
      </c>
      <c r="AH120" s="237"/>
      <c r="AI120" s="237"/>
      <c r="AJ120" s="237"/>
      <c r="AK120" s="237"/>
      <c r="AL120" s="237"/>
      <c r="AM120" s="237"/>
      <c r="AN120" s="237"/>
      <c r="AO120" s="237"/>
      <c r="AP120" s="237"/>
      <c r="AQ120" s="237"/>
      <c r="AR120" s="237"/>
      <c r="AS120" s="237"/>
      <c r="AT120" s="237"/>
      <c r="AU120" s="237"/>
      <c r="AV120" s="237"/>
      <c r="AW120" s="237"/>
      <c r="AX120" s="237"/>
      <c r="AY120" s="237"/>
      <c r="AZ120" s="237"/>
      <c r="BA120" s="237"/>
    </row>
    <row r="121" spans="1:53" hidden="1" x14ac:dyDescent="0.2">
      <c r="A121" s="239"/>
      <c r="B121" s="280">
        <v>0</v>
      </c>
      <c r="C121" s="280">
        <v>0</v>
      </c>
      <c r="D121" s="280">
        <v>0</v>
      </c>
      <c r="E121" s="280">
        <f>D121+1</f>
        <v>1</v>
      </c>
      <c r="F121" s="280">
        <f t="shared" si="41"/>
        <v>2</v>
      </c>
      <c r="G121" s="280">
        <f t="shared" si="41"/>
        <v>3</v>
      </c>
      <c r="H121" s="280">
        <f t="shared" si="41"/>
        <v>4</v>
      </c>
      <c r="I121" s="280">
        <f t="shared" si="41"/>
        <v>5</v>
      </c>
      <c r="J121" s="280">
        <f t="shared" si="41"/>
        <v>6</v>
      </c>
      <c r="K121" s="280">
        <f t="shared" si="41"/>
        <v>7</v>
      </c>
      <c r="L121" s="280">
        <f t="shared" si="41"/>
        <v>8</v>
      </c>
      <c r="M121" s="280">
        <f t="shared" si="41"/>
        <v>9</v>
      </c>
      <c r="N121" s="280">
        <f t="shared" si="41"/>
        <v>10</v>
      </c>
      <c r="O121" s="280">
        <f t="shared" si="41"/>
        <v>11</v>
      </c>
      <c r="P121" s="280">
        <f t="shared" si="41"/>
        <v>12</v>
      </c>
      <c r="Q121" s="280">
        <f t="shared" si="41"/>
        <v>13</v>
      </c>
      <c r="R121" s="280">
        <f t="shared" si="41"/>
        <v>14</v>
      </c>
      <c r="S121" s="280">
        <f t="shared" si="41"/>
        <v>15</v>
      </c>
      <c r="T121" s="280">
        <f t="shared" si="41"/>
        <v>16</v>
      </c>
      <c r="U121" s="280">
        <f t="shared" si="41"/>
        <v>17</v>
      </c>
      <c r="V121" s="280">
        <f t="shared" si="41"/>
        <v>18</v>
      </c>
      <c r="W121" s="280">
        <f t="shared" si="41"/>
        <v>19</v>
      </c>
      <c r="X121" s="280">
        <f t="shared" si="41"/>
        <v>20</v>
      </c>
      <c r="Y121" s="280">
        <f t="shared" si="41"/>
        <v>21</v>
      </c>
      <c r="Z121" s="280">
        <f t="shared" si="41"/>
        <v>22</v>
      </c>
      <c r="AA121" s="280">
        <f t="shared" si="41"/>
        <v>23</v>
      </c>
      <c r="AB121" s="280">
        <f t="shared" si="41"/>
        <v>24</v>
      </c>
      <c r="AC121" s="280">
        <f t="shared" si="41"/>
        <v>25</v>
      </c>
      <c r="AD121" s="280">
        <f t="shared" si="41"/>
        <v>26</v>
      </c>
      <c r="AE121" s="280">
        <f t="shared" si="41"/>
        <v>27</v>
      </c>
      <c r="AF121" s="280">
        <f t="shared" si="41"/>
        <v>28</v>
      </c>
      <c r="AG121" s="280">
        <f t="shared" si="41"/>
        <v>29</v>
      </c>
      <c r="AH121" s="237"/>
      <c r="AI121" s="237"/>
      <c r="AJ121" s="237"/>
      <c r="AK121" s="237"/>
      <c r="AL121" s="237"/>
      <c r="AM121" s="237"/>
      <c r="AN121" s="237"/>
      <c r="AO121" s="237"/>
      <c r="AP121" s="237"/>
      <c r="AQ121" s="237"/>
      <c r="AR121" s="237"/>
      <c r="AS121" s="237"/>
      <c r="AT121" s="237"/>
      <c r="AU121" s="237"/>
      <c r="AV121" s="237"/>
      <c r="AW121" s="237"/>
      <c r="AX121" s="237"/>
      <c r="AY121" s="237"/>
      <c r="AZ121" s="237"/>
      <c r="BA121" s="237"/>
    </row>
    <row r="122" spans="1:53" ht="15" hidden="1" x14ac:dyDescent="0.2">
      <c r="A122" s="239"/>
      <c r="B122" s="281">
        <f>AVERAGE(A121:B121)</f>
        <v>0</v>
      </c>
      <c r="C122" s="281">
        <f>AVERAGE(B121:C121)</f>
        <v>0</v>
      </c>
      <c r="D122" s="281">
        <f>AVERAGE(C121:D121)</f>
        <v>0</v>
      </c>
      <c r="E122" s="281">
        <f>AVERAGE(D121:E121)</f>
        <v>0.5</v>
      </c>
      <c r="F122" s="281">
        <f t="shared" ref="F122:AG122" si="42">AVERAGE(E121:F121)</f>
        <v>1.5</v>
      </c>
      <c r="G122" s="281">
        <f t="shared" si="42"/>
        <v>2.5</v>
      </c>
      <c r="H122" s="281">
        <f t="shared" si="42"/>
        <v>3.5</v>
      </c>
      <c r="I122" s="281">
        <f t="shared" si="42"/>
        <v>4.5</v>
      </c>
      <c r="J122" s="281">
        <f t="shared" si="42"/>
        <v>5.5</v>
      </c>
      <c r="K122" s="281">
        <f t="shared" si="42"/>
        <v>6.5</v>
      </c>
      <c r="L122" s="281">
        <f t="shared" si="42"/>
        <v>7.5</v>
      </c>
      <c r="M122" s="281">
        <f t="shared" si="42"/>
        <v>8.5</v>
      </c>
      <c r="N122" s="281">
        <f t="shared" si="42"/>
        <v>9.5</v>
      </c>
      <c r="O122" s="281">
        <f t="shared" si="42"/>
        <v>10.5</v>
      </c>
      <c r="P122" s="281">
        <f t="shared" si="42"/>
        <v>11.5</v>
      </c>
      <c r="Q122" s="281">
        <f t="shared" si="42"/>
        <v>12.5</v>
      </c>
      <c r="R122" s="281">
        <f t="shared" si="42"/>
        <v>13.5</v>
      </c>
      <c r="S122" s="281">
        <f t="shared" si="42"/>
        <v>14.5</v>
      </c>
      <c r="T122" s="281">
        <f t="shared" si="42"/>
        <v>15.5</v>
      </c>
      <c r="U122" s="281">
        <f t="shared" si="42"/>
        <v>16.5</v>
      </c>
      <c r="V122" s="281">
        <f t="shared" si="42"/>
        <v>17.5</v>
      </c>
      <c r="W122" s="281">
        <f t="shared" si="42"/>
        <v>18.5</v>
      </c>
      <c r="X122" s="281">
        <f t="shared" si="42"/>
        <v>19.5</v>
      </c>
      <c r="Y122" s="281">
        <f t="shared" si="42"/>
        <v>20.5</v>
      </c>
      <c r="Z122" s="281">
        <f t="shared" si="42"/>
        <v>21.5</v>
      </c>
      <c r="AA122" s="281">
        <f t="shared" si="42"/>
        <v>22.5</v>
      </c>
      <c r="AB122" s="281">
        <f t="shared" si="42"/>
        <v>23.5</v>
      </c>
      <c r="AC122" s="281">
        <f t="shared" si="42"/>
        <v>24.5</v>
      </c>
      <c r="AD122" s="281">
        <f t="shared" si="42"/>
        <v>25.5</v>
      </c>
      <c r="AE122" s="281">
        <f t="shared" si="42"/>
        <v>26.5</v>
      </c>
      <c r="AF122" s="281">
        <f t="shared" si="42"/>
        <v>27.5</v>
      </c>
      <c r="AG122" s="281">
        <f t="shared" si="42"/>
        <v>28.5</v>
      </c>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row>
    <row r="123" spans="1:53" ht="12.75" x14ac:dyDescent="0.2">
      <c r="A123" s="239"/>
      <c r="B123" s="237"/>
      <c r="C123" s="237"/>
      <c r="D123" s="237"/>
      <c r="E123" s="237"/>
      <c r="F123" s="237"/>
      <c r="G123" s="237"/>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row>
    <row r="124" spans="1:53" ht="12.75" x14ac:dyDescent="0.2">
      <c r="A124" s="239"/>
      <c r="B124" s="237"/>
      <c r="C124" s="237"/>
      <c r="D124" s="237"/>
      <c r="E124" s="237"/>
      <c r="F124" s="237"/>
      <c r="G124" s="237"/>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row>
    <row r="125" spans="1:53" ht="12.75" x14ac:dyDescent="0.2">
      <c r="A125" s="239"/>
      <c r="B125" s="237"/>
      <c r="C125" s="237"/>
      <c r="D125" s="237"/>
      <c r="E125" s="237"/>
      <c r="F125" s="237"/>
      <c r="G125" s="237"/>
      <c r="H125" s="237"/>
      <c r="I125" s="237"/>
      <c r="J125" s="237"/>
      <c r="K125" s="237"/>
      <c r="L125" s="237"/>
      <c r="M125" s="237"/>
      <c r="N125" s="237"/>
      <c r="O125" s="237"/>
      <c r="P125" s="237"/>
      <c r="Q125" s="237"/>
      <c r="R125" s="237"/>
      <c r="S125" s="237"/>
      <c r="T125" s="237"/>
      <c r="U125" s="237"/>
      <c r="V125" s="237"/>
      <c r="W125" s="237"/>
      <c r="X125" s="237"/>
      <c r="Y125" s="237"/>
      <c r="Z125" s="237"/>
      <c r="AA125" s="237"/>
      <c r="AB125" s="237"/>
      <c r="AC125" s="237"/>
      <c r="AD125" s="237"/>
      <c r="AE125" s="237"/>
      <c r="AF125" s="237"/>
      <c r="AG125" s="237"/>
      <c r="AH125" s="237"/>
      <c r="AI125" s="237"/>
      <c r="AJ125" s="237"/>
      <c r="AK125" s="237"/>
      <c r="AL125" s="237"/>
      <c r="AM125" s="237"/>
      <c r="AN125" s="237"/>
      <c r="AO125" s="237"/>
      <c r="AP125" s="237"/>
      <c r="AQ125" s="237"/>
      <c r="AR125" s="237"/>
      <c r="AS125" s="237"/>
      <c r="AT125" s="237"/>
      <c r="AU125" s="237"/>
      <c r="AV125" s="237"/>
      <c r="AW125" s="237"/>
      <c r="AX125" s="237"/>
      <c r="AY125" s="237"/>
      <c r="AZ125" s="237"/>
      <c r="BA125" s="237"/>
    </row>
    <row r="126" spans="1:53" ht="12.75" x14ac:dyDescent="0.2">
      <c r="A126" s="239"/>
      <c r="B126" s="237"/>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row>
    <row r="127" spans="1:53" ht="12.75" x14ac:dyDescent="0.2">
      <c r="A127" s="239"/>
      <c r="B127" s="237"/>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row>
    <row r="128" spans="1:53" ht="12.75" x14ac:dyDescent="0.2">
      <c r="A128" s="239"/>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row>
    <row r="129" spans="1:53" ht="12.75" x14ac:dyDescent="0.2">
      <c r="A129" s="239"/>
      <c r="B129" s="237"/>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row>
    <row r="130" spans="1:53" ht="12.75" x14ac:dyDescent="0.2">
      <c r="A130" s="239"/>
      <c r="B130" s="237"/>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row>
    <row r="131" spans="1:53" ht="12.75" x14ac:dyDescent="0.2">
      <c r="A131" s="239"/>
      <c r="B131" s="237"/>
      <c r="C131" s="237"/>
      <c r="D131" s="237"/>
      <c r="E131" s="237"/>
      <c r="F131" s="237"/>
      <c r="G131" s="237"/>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row>
    <row r="132" spans="1:53" ht="12.75" x14ac:dyDescent="0.2">
      <c r="A132" s="239"/>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row>
    <row r="133" spans="1:53"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237"/>
      <c r="AR133" s="237"/>
      <c r="AS133" s="237"/>
      <c r="AT133" s="237"/>
      <c r="AU133" s="237"/>
      <c r="AV133" s="237"/>
      <c r="AW133" s="237"/>
      <c r="AX133" s="237"/>
      <c r="AY133" s="237"/>
      <c r="AZ133" s="237"/>
      <c r="BA133" s="237"/>
    </row>
    <row r="134" spans="1:53" ht="12.75" x14ac:dyDescent="0.2">
      <c r="A134" s="239"/>
      <c r="B134" s="237"/>
      <c r="C134" s="237"/>
      <c r="D134" s="237"/>
      <c r="E134" s="237"/>
      <c r="F134" s="237"/>
      <c r="G134" s="237"/>
      <c r="H134" s="237"/>
      <c r="I134" s="237"/>
      <c r="J134" s="237"/>
      <c r="K134" s="237"/>
      <c r="L134" s="237"/>
      <c r="M134" s="237"/>
      <c r="N134" s="237"/>
      <c r="O134" s="237"/>
      <c r="P134" s="237"/>
      <c r="Q134" s="237"/>
      <c r="R134" s="237"/>
      <c r="S134" s="237"/>
      <c r="T134" s="237"/>
      <c r="U134" s="237"/>
      <c r="V134" s="237"/>
      <c r="W134" s="237"/>
      <c r="X134" s="237"/>
      <c r="Y134" s="237"/>
      <c r="Z134" s="237"/>
      <c r="AA134" s="237"/>
      <c r="AB134" s="237"/>
      <c r="AC134" s="237"/>
      <c r="AD134" s="237"/>
      <c r="AE134" s="237"/>
      <c r="AF134" s="237"/>
      <c r="AG134" s="237"/>
      <c r="AH134" s="237"/>
      <c r="AI134" s="237"/>
      <c r="AJ134" s="237"/>
      <c r="AK134" s="237"/>
      <c r="AL134" s="237"/>
      <c r="AM134" s="237"/>
      <c r="AN134" s="237"/>
      <c r="AO134" s="237"/>
      <c r="AP134" s="237"/>
      <c r="AQ134" s="237"/>
      <c r="AR134" s="237"/>
      <c r="AS134" s="237"/>
      <c r="AT134" s="237"/>
      <c r="AU134" s="237"/>
      <c r="AV134" s="237"/>
      <c r="AW134" s="237"/>
      <c r="AX134" s="237"/>
      <c r="AY134" s="237"/>
      <c r="AZ134" s="237"/>
      <c r="BA134" s="237"/>
    </row>
    <row r="135" spans="1:53" ht="12.75" x14ac:dyDescent="0.2">
      <c r="A135" s="239"/>
      <c r="B135" s="237"/>
      <c r="C135" s="237"/>
      <c r="D135" s="237"/>
      <c r="E135" s="237"/>
      <c r="F135" s="237"/>
      <c r="G135" s="237"/>
      <c r="H135" s="237"/>
      <c r="I135" s="237"/>
      <c r="J135" s="237"/>
      <c r="K135" s="237"/>
      <c r="L135" s="237"/>
      <c r="M135" s="237"/>
      <c r="N135" s="237"/>
      <c r="O135" s="237"/>
      <c r="P135" s="237"/>
      <c r="Q135" s="237"/>
      <c r="R135" s="237"/>
      <c r="S135" s="237"/>
      <c r="T135" s="237"/>
      <c r="U135" s="237"/>
      <c r="V135" s="237"/>
      <c r="W135" s="237"/>
      <c r="X135" s="237"/>
      <c r="Y135" s="237"/>
      <c r="Z135" s="237"/>
      <c r="AA135" s="237"/>
      <c r="AB135" s="237"/>
      <c r="AC135" s="237"/>
      <c r="AD135" s="237"/>
      <c r="AE135" s="237"/>
      <c r="AF135" s="237"/>
      <c r="AG135" s="237"/>
      <c r="AH135" s="237"/>
      <c r="AI135" s="237"/>
      <c r="AJ135" s="237"/>
      <c r="AK135" s="237"/>
      <c r="AL135" s="237"/>
      <c r="AM135" s="237"/>
      <c r="AN135" s="237"/>
      <c r="AO135" s="237"/>
      <c r="AP135" s="237"/>
      <c r="AQ135" s="237"/>
      <c r="AR135" s="237"/>
      <c r="AS135" s="237"/>
      <c r="AT135" s="237"/>
      <c r="AU135" s="237"/>
      <c r="AV135" s="237"/>
      <c r="AW135" s="237"/>
      <c r="AX135" s="237"/>
      <c r="AY135" s="237"/>
      <c r="AZ135" s="237"/>
      <c r="BA135" s="237"/>
    </row>
    <row r="136" spans="1:53" ht="12.75" x14ac:dyDescent="0.2">
      <c r="A136" s="239"/>
      <c r="B136" s="237"/>
      <c r="C136" s="237"/>
      <c r="D136" s="237"/>
      <c r="E136" s="237"/>
      <c r="F136" s="237"/>
      <c r="G136" s="237"/>
      <c r="H136" s="237"/>
      <c r="I136" s="237"/>
      <c r="J136" s="237"/>
      <c r="K136" s="237"/>
      <c r="L136" s="237"/>
      <c r="M136" s="237"/>
      <c r="N136" s="237"/>
      <c r="O136" s="237"/>
      <c r="P136" s="237"/>
      <c r="Q136" s="237"/>
      <c r="R136" s="237"/>
      <c r="S136" s="237"/>
      <c r="T136" s="237"/>
      <c r="U136" s="237"/>
      <c r="V136" s="237"/>
      <c r="W136" s="237"/>
      <c r="X136" s="237"/>
      <c r="Y136" s="237"/>
      <c r="Z136" s="237"/>
      <c r="AA136" s="237"/>
      <c r="AB136" s="237"/>
      <c r="AC136" s="237"/>
      <c r="AD136" s="237"/>
      <c r="AE136" s="237"/>
      <c r="AF136" s="237"/>
      <c r="AG136" s="237"/>
      <c r="AH136" s="237"/>
      <c r="AI136" s="237"/>
      <c r="AJ136" s="237"/>
      <c r="AK136" s="237"/>
      <c r="AL136" s="237"/>
      <c r="AM136" s="237"/>
      <c r="AN136" s="237"/>
      <c r="AO136" s="237"/>
      <c r="AP136" s="237"/>
      <c r="AQ136" s="237"/>
      <c r="AR136" s="237"/>
      <c r="AS136" s="237"/>
      <c r="AT136" s="237"/>
      <c r="AU136" s="237"/>
      <c r="AV136" s="237"/>
      <c r="AW136" s="237"/>
      <c r="AX136" s="237"/>
      <c r="AY136" s="237"/>
      <c r="AZ136" s="237"/>
      <c r="BA136" s="237"/>
    </row>
    <row r="137" spans="1:53" ht="12.75" x14ac:dyDescent="0.2">
      <c r="A137" s="238"/>
      <c r="B137" s="236"/>
      <c r="C137" s="236"/>
      <c r="D137" s="236"/>
      <c r="E137" s="236"/>
      <c r="F137" s="236"/>
      <c r="G137" s="236"/>
      <c r="H137" s="236"/>
      <c r="I137" s="236"/>
      <c r="J137" s="236"/>
      <c r="K137" s="236"/>
      <c r="L137" s="236"/>
      <c r="M137" s="236"/>
      <c r="N137" s="236"/>
      <c r="O137" s="236"/>
      <c r="P137" s="236"/>
      <c r="Q137" s="236"/>
      <c r="R137" s="236"/>
      <c r="S137" s="236"/>
      <c r="T137" s="236"/>
      <c r="U137" s="236"/>
      <c r="V137" s="236"/>
      <c r="W137" s="236"/>
      <c r="X137" s="236"/>
      <c r="Y137" s="236"/>
      <c r="Z137" s="236"/>
      <c r="AA137" s="236"/>
      <c r="AB137" s="236"/>
      <c r="AC137" s="236"/>
      <c r="AD137" s="236"/>
      <c r="AE137" s="236"/>
      <c r="AF137" s="236"/>
      <c r="AG137" s="236"/>
      <c r="AH137" s="236"/>
      <c r="AI137" s="236"/>
      <c r="AJ137" s="236"/>
      <c r="AK137" s="236"/>
      <c r="AL137" s="236"/>
      <c r="AM137" s="236"/>
      <c r="AN137" s="236"/>
      <c r="AO137" s="236"/>
      <c r="AP137" s="236"/>
      <c r="AQ137" s="236"/>
      <c r="AR137" s="236"/>
      <c r="AS137" s="236"/>
      <c r="AT137" s="236"/>
      <c r="AU137" s="236"/>
      <c r="AV137" s="236"/>
      <c r="AW137" s="236"/>
      <c r="AX137" s="236"/>
      <c r="AY137" s="236"/>
      <c r="AZ137" s="236"/>
      <c r="BA137" s="236"/>
    </row>
    <row r="138" spans="1:53" ht="12.75" x14ac:dyDescent="0.2">
      <c r="A138" s="238"/>
      <c r="B138" s="236"/>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236"/>
      <c r="AR138" s="236"/>
      <c r="AS138" s="236"/>
      <c r="AT138" s="236"/>
      <c r="AU138" s="236"/>
      <c r="AV138" s="236"/>
      <c r="AW138" s="236"/>
      <c r="AX138" s="236"/>
      <c r="AY138" s="236"/>
      <c r="AZ138" s="236"/>
      <c r="BA138" s="236"/>
    </row>
    <row r="139" spans="1:53" ht="12.75" x14ac:dyDescent="0.2">
      <c r="A139" s="238"/>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row>
    <row r="140" spans="1:53" ht="12.75" x14ac:dyDescent="0.2">
      <c r="A140" s="238"/>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36"/>
      <c r="AN140" s="236"/>
      <c r="AO140" s="236"/>
      <c r="AP140" s="236"/>
      <c r="AQ140" s="236"/>
      <c r="AR140" s="236"/>
      <c r="AS140" s="236"/>
      <c r="AT140" s="236"/>
      <c r="AU140" s="236"/>
      <c r="AV140" s="236"/>
      <c r="AW140" s="236"/>
      <c r="AX140" s="236"/>
      <c r="AY140" s="236"/>
      <c r="AZ140" s="236"/>
      <c r="BA140" s="236"/>
    </row>
    <row r="141" spans="1:53" ht="12.75" x14ac:dyDescent="0.2">
      <c r="A141" s="238"/>
      <c r="B141" s="236"/>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236"/>
      <c r="AR141" s="236"/>
      <c r="AS141" s="236"/>
      <c r="AT141" s="236"/>
      <c r="AU141" s="236"/>
      <c r="AV141" s="236"/>
      <c r="AW141" s="236"/>
      <c r="AX141" s="236"/>
      <c r="AY141" s="236"/>
      <c r="AZ141" s="236"/>
      <c r="BA141" s="236"/>
    </row>
    <row r="142" spans="1:53" ht="12.75" x14ac:dyDescent="0.2">
      <c r="A142" s="238"/>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Q142" s="236"/>
      <c r="AR142" s="236"/>
      <c r="AS142" s="236"/>
      <c r="AT142" s="236"/>
      <c r="AU142" s="236"/>
      <c r="AV142" s="236"/>
      <c r="AW142" s="236"/>
      <c r="AX142" s="236"/>
      <c r="AY142" s="236"/>
      <c r="AZ142" s="236"/>
      <c r="BA142" s="236"/>
    </row>
    <row r="143" spans="1:53" ht="12.75" x14ac:dyDescent="0.2">
      <c r="A143" s="238"/>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row>
    <row r="144" spans="1:53" ht="12.75" x14ac:dyDescent="0.2">
      <c r="A144" s="238"/>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row>
    <row r="145" spans="1:53" ht="12.75" x14ac:dyDescent="0.2">
      <c r="A145" s="238"/>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row>
    <row r="146" spans="1:53" ht="12.75" x14ac:dyDescent="0.2">
      <c r="A146" s="238"/>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row>
    <row r="147" spans="1:53" ht="12.75" x14ac:dyDescent="0.2">
      <c r="A147" s="238"/>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row>
    <row r="148" spans="1:53" ht="12.75" x14ac:dyDescent="0.2">
      <c r="A148" s="238"/>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row>
    <row r="149" spans="1:53" ht="12.75" x14ac:dyDescent="0.2">
      <c r="A149" s="238"/>
      <c r="B149" s="236"/>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row>
    <row r="150" spans="1:53" ht="12.75" x14ac:dyDescent="0.2">
      <c r="A150" s="238"/>
      <c r="B150" s="236"/>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row>
    <row r="151" spans="1:53" ht="12.75" x14ac:dyDescent="0.2">
      <c r="A151" s="238"/>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row>
    <row r="152" spans="1:53" ht="12.75" x14ac:dyDescent="0.2">
      <c r="A152" s="238"/>
      <c r="B152" s="236"/>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6"/>
      <c r="Z152" s="236"/>
      <c r="AA152" s="236"/>
      <c r="AB152" s="236"/>
      <c r="AC152" s="236"/>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row>
    <row r="153" spans="1:53" ht="12.75" x14ac:dyDescent="0.2">
      <c r="A153" s="238"/>
      <c r="B153" s="236"/>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6"/>
      <c r="Z153" s="236"/>
      <c r="AA153" s="236"/>
      <c r="AB153" s="236"/>
      <c r="AC153" s="236"/>
      <c r="AD153" s="236"/>
      <c r="AE153" s="236"/>
      <c r="AF153" s="236"/>
      <c r="AG153" s="236"/>
      <c r="AH153" s="236"/>
      <c r="AI153" s="236"/>
      <c r="AJ153" s="236"/>
      <c r="AK153" s="236"/>
      <c r="AL153" s="236"/>
      <c r="AM153" s="236"/>
      <c r="AN153" s="236"/>
      <c r="AO153" s="236"/>
      <c r="AP153" s="236"/>
      <c r="AQ153" s="236"/>
      <c r="AR153" s="236"/>
      <c r="AS153" s="236"/>
      <c r="AT153" s="236"/>
      <c r="AU153" s="236"/>
      <c r="AV153" s="236"/>
      <c r="AW153" s="236"/>
      <c r="AX153" s="236"/>
      <c r="AY153" s="236"/>
      <c r="AZ153" s="236"/>
      <c r="BA153" s="236"/>
    </row>
    <row r="154" spans="1:53" ht="12.75" x14ac:dyDescent="0.2">
      <c r="A154" s="238"/>
      <c r="B154" s="236"/>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6"/>
      <c r="Z154" s="236"/>
      <c r="AA154" s="236"/>
      <c r="AB154" s="236"/>
      <c r="AC154" s="236"/>
      <c r="AD154" s="236"/>
      <c r="AE154" s="236"/>
      <c r="AF154" s="236"/>
      <c r="AG154" s="236"/>
      <c r="AH154" s="236"/>
      <c r="AI154" s="236"/>
      <c r="AJ154" s="236"/>
      <c r="AK154" s="236"/>
      <c r="AL154" s="236"/>
      <c r="AM154" s="236"/>
      <c r="AN154" s="236"/>
      <c r="AO154" s="236"/>
      <c r="AP154" s="236"/>
      <c r="AQ154" s="236"/>
      <c r="AR154" s="236"/>
      <c r="AS154" s="236"/>
      <c r="AT154" s="236"/>
      <c r="AU154" s="236"/>
      <c r="AV154" s="236"/>
      <c r="AW154" s="236"/>
      <c r="AX154" s="236"/>
      <c r="AY154" s="236"/>
      <c r="AZ154" s="236"/>
      <c r="BA154" s="236"/>
    </row>
    <row r="155" spans="1:53" ht="12.75" x14ac:dyDescent="0.2">
      <c r="A155" s="238"/>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6"/>
      <c r="AR155" s="236"/>
      <c r="AS155" s="236"/>
      <c r="AT155" s="236"/>
      <c r="AU155" s="236"/>
      <c r="AV155" s="236"/>
      <c r="AW155" s="236"/>
      <c r="AX155" s="236"/>
      <c r="AY155" s="236"/>
      <c r="AZ155" s="236"/>
      <c r="BA155" s="236"/>
    </row>
    <row r="156" spans="1:53" ht="12.75" x14ac:dyDescent="0.2">
      <c r="A156" s="238"/>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6"/>
      <c r="AR156" s="236"/>
      <c r="AS156" s="236"/>
      <c r="AT156" s="236"/>
      <c r="AU156" s="236"/>
      <c r="AV156" s="236"/>
      <c r="AW156" s="236"/>
      <c r="AX156" s="236"/>
      <c r="AY156" s="236"/>
      <c r="AZ156" s="236"/>
      <c r="BA156" s="236"/>
    </row>
    <row r="157" spans="1:53" ht="12.75" x14ac:dyDescent="0.2">
      <c r="A157" s="238"/>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6"/>
      <c r="AR157" s="236"/>
      <c r="AS157" s="236"/>
      <c r="AT157" s="236"/>
      <c r="AU157" s="236"/>
      <c r="AV157" s="236"/>
      <c r="AW157" s="236"/>
      <c r="AX157" s="236"/>
      <c r="AY157" s="236"/>
      <c r="AZ157" s="236"/>
      <c r="BA157" s="236"/>
    </row>
    <row r="158" spans="1:53" ht="12.75" x14ac:dyDescent="0.2">
      <c r="A158" s="238"/>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6"/>
      <c r="AR158" s="236"/>
      <c r="AS158" s="236"/>
      <c r="AT158" s="236"/>
      <c r="AU158" s="236"/>
      <c r="AV158" s="236"/>
      <c r="AW158" s="236"/>
      <c r="AX158" s="236"/>
      <c r="AY158" s="236"/>
      <c r="AZ158" s="236"/>
      <c r="BA158" s="236"/>
    </row>
    <row r="159" spans="1:53" ht="12.75" x14ac:dyDescent="0.2">
      <c r="A159" s="238"/>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6"/>
      <c r="AR159" s="236"/>
      <c r="AS159" s="236"/>
      <c r="AT159" s="236"/>
      <c r="AU159" s="236"/>
      <c r="AV159" s="236"/>
      <c r="AW159" s="236"/>
      <c r="AX159" s="236"/>
      <c r="AY159" s="236"/>
      <c r="AZ159" s="236"/>
      <c r="BA159" s="236"/>
    </row>
    <row r="160" spans="1:53" ht="12.75" x14ac:dyDescent="0.2">
      <c r="A160" s="238"/>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6"/>
      <c r="AR160" s="236"/>
      <c r="AS160" s="236"/>
      <c r="AT160" s="236"/>
      <c r="AU160" s="236"/>
      <c r="AV160" s="236"/>
      <c r="AW160" s="236"/>
      <c r="AX160" s="236"/>
      <c r="AY160" s="236"/>
      <c r="AZ160" s="236"/>
      <c r="BA160" s="236"/>
    </row>
    <row r="161" spans="1:53" ht="12.75" x14ac:dyDescent="0.2">
      <c r="A161" s="238"/>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6"/>
      <c r="AR161" s="236"/>
      <c r="AS161" s="236"/>
      <c r="AT161" s="236"/>
      <c r="AU161" s="236"/>
      <c r="AV161" s="236"/>
      <c r="AW161" s="236"/>
      <c r="AX161" s="236"/>
      <c r="AY161" s="236"/>
      <c r="AZ161" s="236"/>
      <c r="BA161" s="236"/>
    </row>
    <row r="162" spans="1:53" ht="12.75" x14ac:dyDescent="0.2">
      <c r="A162" s="238"/>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6"/>
      <c r="AR162" s="236"/>
      <c r="AS162" s="236"/>
      <c r="AT162" s="236"/>
      <c r="AU162" s="236"/>
      <c r="AV162" s="236"/>
      <c r="AW162" s="236"/>
      <c r="AX162" s="236"/>
      <c r="AY162" s="236"/>
      <c r="AZ162" s="236"/>
      <c r="BA162" s="236"/>
    </row>
    <row r="163" spans="1:53" ht="12.75" x14ac:dyDescent="0.2">
      <c r="A163" s="238"/>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6"/>
      <c r="AR163" s="236"/>
      <c r="AS163" s="236"/>
      <c r="AT163" s="236"/>
      <c r="AU163" s="236"/>
      <c r="AV163" s="236"/>
      <c r="AW163" s="236"/>
      <c r="AX163" s="236"/>
      <c r="AY163" s="236"/>
      <c r="AZ163" s="236"/>
      <c r="BA163" s="236"/>
    </row>
    <row r="164" spans="1:53" ht="12.75" x14ac:dyDescent="0.2">
      <c r="A164" s="238"/>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6"/>
      <c r="AR164" s="236"/>
      <c r="AS164" s="236"/>
      <c r="AT164" s="236"/>
      <c r="AU164" s="236"/>
      <c r="AV164" s="236"/>
      <c r="AW164" s="236"/>
      <c r="AX164" s="236"/>
      <c r="AY164" s="236"/>
      <c r="AZ164" s="236"/>
      <c r="BA164" s="236"/>
    </row>
    <row r="165" spans="1:53" ht="12.75" x14ac:dyDescent="0.2">
      <c r="A165" s="238"/>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6"/>
      <c r="AR165" s="236"/>
      <c r="AS165" s="236"/>
      <c r="AT165" s="236"/>
      <c r="AU165" s="236"/>
      <c r="AV165" s="236"/>
      <c r="AW165" s="236"/>
      <c r="AX165" s="236"/>
      <c r="AY165" s="236"/>
      <c r="AZ165" s="236"/>
      <c r="BA165" s="236"/>
    </row>
    <row r="166" spans="1:53" ht="12.75" x14ac:dyDescent="0.2">
      <c r="A166" s="238"/>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6"/>
      <c r="AR166" s="236"/>
      <c r="AS166" s="236"/>
      <c r="AT166" s="236"/>
      <c r="AU166" s="236"/>
      <c r="AV166" s="236"/>
      <c r="AW166" s="236"/>
      <c r="AX166" s="236"/>
      <c r="AY166" s="236"/>
      <c r="AZ166" s="236"/>
      <c r="BA166" s="236"/>
    </row>
    <row r="167" spans="1:53" ht="12.75" x14ac:dyDescent="0.2">
      <c r="A167" s="238"/>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6"/>
      <c r="AR167" s="236"/>
      <c r="AS167" s="236"/>
      <c r="AT167" s="236"/>
      <c r="AU167" s="236"/>
      <c r="AV167" s="236"/>
      <c r="AW167" s="236"/>
      <c r="AX167" s="236"/>
      <c r="AY167" s="236"/>
      <c r="AZ167" s="236"/>
      <c r="BA167" s="236"/>
    </row>
    <row r="168" spans="1:53" ht="12.75" x14ac:dyDescent="0.2">
      <c r="A168" s="238"/>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6"/>
      <c r="AR168" s="236"/>
      <c r="AS168" s="236"/>
      <c r="AT168" s="236"/>
      <c r="AU168" s="236"/>
      <c r="AV168" s="236"/>
      <c r="AW168" s="236"/>
      <c r="AX168" s="236"/>
      <c r="AY168" s="236"/>
      <c r="AZ168" s="236"/>
      <c r="BA168" s="236"/>
    </row>
    <row r="169" spans="1:53" ht="12.75" x14ac:dyDescent="0.2">
      <c r="A169" s="238"/>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6"/>
      <c r="AR169" s="236"/>
      <c r="AS169" s="236"/>
      <c r="AT169" s="236"/>
      <c r="AU169" s="236"/>
      <c r="AV169" s="236"/>
      <c r="AW169" s="236"/>
      <c r="AX169" s="236"/>
      <c r="AY169" s="236"/>
      <c r="AZ169" s="236"/>
      <c r="BA169" s="236"/>
    </row>
    <row r="170" spans="1:53" ht="12.75" x14ac:dyDescent="0.2">
      <c r="A170" s="238"/>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6"/>
      <c r="AR170" s="236"/>
      <c r="AS170" s="236"/>
      <c r="AT170" s="236"/>
      <c r="AU170" s="236"/>
      <c r="AV170" s="236"/>
      <c r="AW170" s="236"/>
      <c r="AX170" s="236"/>
      <c r="AY170" s="236"/>
      <c r="AZ170" s="236"/>
      <c r="BA170" s="236"/>
    </row>
    <row r="171" spans="1:53" ht="12.75" x14ac:dyDescent="0.2">
      <c r="A171" s="238"/>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6"/>
      <c r="AR171" s="236"/>
      <c r="AS171" s="236"/>
      <c r="AT171" s="236"/>
      <c r="AU171" s="236"/>
      <c r="AV171" s="236"/>
      <c r="AW171" s="236"/>
      <c r="AX171" s="236"/>
      <c r="AY171" s="236"/>
      <c r="AZ171" s="236"/>
      <c r="BA171" s="236"/>
    </row>
    <row r="172" spans="1:53" ht="12.75" x14ac:dyDescent="0.2">
      <c r="A172" s="238"/>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6"/>
      <c r="AR172" s="236"/>
      <c r="AS172" s="236"/>
      <c r="AT172" s="236"/>
      <c r="AU172" s="236"/>
      <c r="AV172" s="236"/>
      <c r="AW172" s="236"/>
      <c r="AX172" s="236"/>
      <c r="AY172" s="236"/>
      <c r="AZ172" s="236"/>
      <c r="BA172" s="236"/>
    </row>
    <row r="173" spans="1:53" ht="12.75" x14ac:dyDescent="0.2">
      <c r="A173" s="238"/>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6"/>
      <c r="AR173" s="236"/>
      <c r="AS173" s="236"/>
      <c r="AT173" s="236"/>
      <c r="AU173" s="236"/>
      <c r="AV173" s="236"/>
      <c r="AW173" s="236"/>
      <c r="AX173" s="236"/>
      <c r="AY173" s="236"/>
      <c r="AZ173" s="236"/>
      <c r="BA173" s="236"/>
    </row>
    <row r="174" spans="1:53" ht="12.75" x14ac:dyDescent="0.2">
      <c r="A174" s="238"/>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6"/>
      <c r="AR174" s="236"/>
      <c r="AS174" s="236"/>
      <c r="AT174" s="236"/>
      <c r="AU174" s="236"/>
      <c r="AV174" s="236"/>
      <c r="AW174" s="236"/>
      <c r="AX174" s="236"/>
      <c r="AY174" s="236"/>
      <c r="AZ174" s="236"/>
      <c r="BA174" s="236"/>
    </row>
    <row r="175" spans="1:53" ht="12.75" x14ac:dyDescent="0.2">
      <c r="A175" s="238"/>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6"/>
      <c r="AR175" s="236"/>
      <c r="AS175" s="236"/>
      <c r="AT175" s="236"/>
      <c r="AU175" s="236"/>
      <c r="AV175" s="236"/>
      <c r="AW175" s="236"/>
      <c r="AX175" s="236"/>
      <c r="AY175" s="236"/>
      <c r="AZ175" s="236"/>
      <c r="BA175" s="236"/>
    </row>
    <row r="176" spans="1:53" ht="12.75" x14ac:dyDescent="0.2">
      <c r="A176" s="238"/>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6"/>
      <c r="AR176" s="236"/>
      <c r="AS176" s="236"/>
      <c r="AT176" s="236"/>
      <c r="AU176" s="236"/>
      <c r="AV176" s="236"/>
      <c r="AW176" s="236"/>
      <c r="AX176" s="236"/>
      <c r="AY176" s="236"/>
      <c r="AZ176" s="236"/>
      <c r="BA176" s="236"/>
    </row>
    <row r="177" spans="1:53" ht="12.75" x14ac:dyDescent="0.2">
      <c r="A177" s="238"/>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6"/>
      <c r="AR177" s="236"/>
      <c r="AS177" s="236"/>
      <c r="AT177" s="236"/>
      <c r="AU177" s="236"/>
      <c r="AV177" s="236"/>
      <c r="AW177" s="236"/>
      <c r="AX177" s="236"/>
      <c r="AY177" s="236"/>
      <c r="AZ177" s="236"/>
      <c r="BA177" s="236"/>
    </row>
    <row r="178" spans="1:53" ht="12.75" x14ac:dyDescent="0.2">
      <c r="A178" s="238"/>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6"/>
      <c r="AR178" s="236"/>
      <c r="AS178" s="236"/>
      <c r="AT178" s="236"/>
      <c r="AU178" s="236"/>
      <c r="AV178" s="236"/>
      <c r="AW178" s="236"/>
      <c r="AX178" s="236"/>
      <c r="AY178" s="236"/>
      <c r="AZ178" s="236"/>
      <c r="BA178" s="236"/>
    </row>
    <row r="179" spans="1:53" ht="12.75" x14ac:dyDescent="0.2">
      <c r="A179" s="238"/>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6"/>
      <c r="AR179" s="236"/>
      <c r="AS179" s="236"/>
      <c r="AT179" s="236"/>
      <c r="AU179" s="236"/>
      <c r="AV179" s="236"/>
      <c r="AW179" s="236"/>
      <c r="AX179" s="236"/>
      <c r="AY179" s="236"/>
      <c r="AZ179" s="236"/>
      <c r="BA179" s="236"/>
    </row>
    <row r="180" spans="1:53" ht="12.75" x14ac:dyDescent="0.2">
      <c r="A180" s="238"/>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6"/>
      <c r="AR180" s="236"/>
      <c r="AS180" s="236"/>
      <c r="AT180" s="236"/>
      <c r="AU180" s="236"/>
      <c r="AV180" s="236"/>
      <c r="AW180" s="236"/>
      <c r="AX180" s="236"/>
      <c r="AY180" s="236"/>
      <c r="AZ180" s="236"/>
      <c r="BA180" s="236"/>
    </row>
    <row r="181" spans="1:53" ht="12.75" x14ac:dyDescent="0.2">
      <c r="A181" s="238"/>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6"/>
      <c r="AR181" s="236"/>
      <c r="AS181" s="236"/>
      <c r="AT181" s="236"/>
      <c r="AU181" s="236"/>
      <c r="AV181" s="236"/>
      <c r="AW181" s="236"/>
      <c r="AX181" s="236"/>
      <c r="AY181" s="236"/>
      <c r="AZ181" s="236"/>
      <c r="BA181" s="236"/>
    </row>
    <row r="182" spans="1:53" ht="12.75" x14ac:dyDescent="0.2">
      <c r="A182" s="238"/>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6"/>
      <c r="AR182" s="236"/>
      <c r="AS182" s="236"/>
      <c r="AT182" s="236"/>
      <c r="AU182" s="236"/>
      <c r="AV182" s="236"/>
      <c r="AW182" s="236"/>
      <c r="AX182" s="236"/>
      <c r="AY182" s="236"/>
      <c r="AZ182" s="236"/>
      <c r="BA182" s="236"/>
    </row>
    <row r="183" spans="1:53" ht="12.75" x14ac:dyDescent="0.2">
      <c r="A183" s="238"/>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6"/>
      <c r="AR183" s="236"/>
      <c r="AS183" s="236"/>
      <c r="AT183" s="236"/>
      <c r="AU183" s="236"/>
      <c r="AV183" s="236"/>
      <c r="AW183" s="236"/>
      <c r="AX183" s="236"/>
      <c r="AY183" s="236"/>
      <c r="AZ183" s="236"/>
      <c r="BA183" s="236"/>
    </row>
    <row r="184" spans="1:53" ht="12.75" x14ac:dyDescent="0.2">
      <c r="A184" s="238"/>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6"/>
      <c r="AR184" s="236"/>
      <c r="AS184" s="236"/>
      <c r="AT184" s="236"/>
      <c r="AU184" s="236"/>
      <c r="AV184" s="236"/>
      <c r="AW184" s="236"/>
      <c r="AX184" s="236"/>
      <c r="AY184" s="236"/>
      <c r="AZ184" s="236"/>
      <c r="BA184" s="236"/>
    </row>
    <row r="185" spans="1:53" ht="12.75" x14ac:dyDescent="0.2">
      <c r="A185" s="238"/>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6"/>
      <c r="AR185" s="236"/>
      <c r="AS185" s="236"/>
      <c r="AT185" s="236"/>
      <c r="AU185" s="236"/>
      <c r="AV185" s="236"/>
      <c r="AW185" s="236"/>
      <c r="AX185" s="236"/>
      <c r="AY185" s="236"/>
      <c r="AZ185" s="236"/>
      <c r="BA185" s="236"/>
    </row>
    <row r="186" spans="1:53" ht="12.75" x14ac:dyDescent="0.2">
      <c r="A186" s="238"/>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6"/>
      <c r="AR186" s="236"/>
      <c r="AS186" s="236"/>
      <c r="AT186" s="236"/>
      <c r="AU186" s="236"/>
      <c r="AV186" s="236"/>
      <c r="AW186" s="236"/>
      <c r="AX186" s="236"/>
      <c r="AY186" s="236"/>
      <c r="AZ186" s="236"/>
      <c r="BA186" s="236"/>
    </row>
    <row r="187" spans="1:53" ht="12.75" x14ac:dyDescent="0.2">
      <c r="A187" s="238"/>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6"/>
      <c r="AR187" s="236"/>
      <c r="AS187" s="236"/>
      <c r="AT187" s="236"/>
      <c r="AU187" s="236"/>
      <c r="AV187" s="236"/>
      <c r="AW187" s="236"/>
      <c r="AX187" s="236"/>
      <c r="AY187" s="236"/>
      <c r="AZ187" s="236"/>
      <c r="BA187" s="236"/>
    </row>
    <row r="188" spans="1:53" ht="12.75" x14ac:dyDescent="0.2">
      <c r="A188" s="238"/>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6"/>
      <c r="AR188" s="236"/>
      <c r="AS188" s="236"/>
      <c r="AT188" s="236"/>
      <c r="AU188" s="236"/>
      <c r="AV188" s="236"/>
      <c r="AW188" s="236"/>
      <c r="AX188" s="236"/>
      <c r="AY188" s="236"/>
      <c r="AZ188" s="236"/>
      <c r="BA188" s="236"/>
    </row>
    <row r="189" spans="1:53" ht="12.75" x14ac:dyDescent="0.2">
      <c r="A189" s="238"/>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6"/>
      <c r="AR189" s="236"/>
      <c r="AS189" s="236"/>
      <c r="AT189" s="236"/>
      <c r="AU189" s="236"/>
      <c r="AV189" s="236"/>
      <c r="AW189" s="236"/>
      <c r="AX189" s="236"/>
      <c r="AY189" s="236"/>
      <c r="AZ189" s="236"/>
      <c r="BA189" s="236"/>
    </row>
  </sheetData>
  <mergeCells count="20">
    <mergeCell ref="B108:C108"/>
    <mergeCell ref="D108:E10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J26" sqref="J26"/>
    </sheetView>
  </sheetViews>
  <sheetFormatPr defaultRowHeight="15.75" x14ac:dyDescent="0.25"/>
  <cols>
    <col min="1" max="1" width="9.140625" style="65"/>
    <col min="2" max="2" width="37.7109375" style="65" customWidth="1"/>
    <col min="3" max="6" width="16.28515625" style="65" customWidth="1"/>
    <col min="7" max="8" width="16.28515625" style="65" hidden="1"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66</v>
      </c>
    </row>
    <row r="2" spans="1:44" ht="18.75" x14ac:dyDescent="0.3">
      <c r="L2" s="14" t="s">
        <v>8</v>
      </c>
    </row>
    <row r="3" spans="1:44" ht="18.75" x14ac:dyDescent="0.3">
      <c r="L3" s="14" t="s">
        <v>65</v>
      </c>
    </row>
    <row r="4" spans="1:44" ht="18.75" x14ac:dyDescent="0.3">
      <c r="K4" s="14"/>
    </row>
    <row r="5" spans="1:44" x14ac:dyDescent="0.25">
      <c r="A5" s="395" t="str">
        <f>'2. паспорт  ТП'!A4:S4</f>
        <v>Год раскрытия информации: 2020 год</v>
      </c>
      <c r="B5" s="395"/>
      <c r="C5" s="395"/>
      <c r="D5" s="395"/>
      <c r="E5" s="395"/>
      <c r="F5" s="395"/>
      <c r="G5" s="395"/>
      <c r="H5" s="395"/>
      <c r="I5" s="395"/>
      <c r="J5" s="395"/>
      <c r="K5" s="395"/>
      <c r="L5" s="395"/>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4"/>
    </row>
    <row r="7" spans="1:44" ht="18.75" x14ac:dyDescent="0.25">
      <c r="A7" s="399" t="s">
        <v>7</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03" t="str">
        <f>'1. паспорт местоположение'!A9:C9</f>
        <v>Акционерное общество "Янтарьэнерго" ДЗО  ПАО "Россети"</v>
      </c>
      <c r="B9" s="403"/>
      <c r="C9" s="403"/>
      <c r="D9" s="403"/>
      <c r="E9" s="403"/>
      <c r="F9" s="403"/>
      <c r="G9" s="403"/>
      <c r="H9" s="403"/>
      <c r="I9" s="403"/>
      <c r="J9" s="403"/>
      <c r="K9" s="403"/>
      <c r="L9" s="403"/>
    </row>
    <row r="10" spans="1:44" x14ac:dyDescent="0.25">
      <c r="A10" s="396" t="s">
        <v>6</v>
      </c>
      <c r="B10" s="396"/>
      <c r="C10" s="396"/>
      <c r="D10" s="396"/>
      <c r="E10" s="396"/>
      <c r="F10" s="396"/>
      <c r="G10" s="396"/>
      <c r="H10" s="396"/>
      <c r="I10" s="396"/>
      <c r="J10" s="396"/>
      <c r="K10" s="396"/>
      <c r="L10" s="396"/>
    </row>
    <row r="11" spans="1:44" ht="18.75" x14ac:dyDescent="0.25">
      <c r="A11" s="399"/>
      <c r="B11" s="399"/>
      <c r="C11" s="399"/>
      <c r="D11" s="399"/>
      <c r="E11" s="399"/>
      <c r="F11" s="399"/>
      <c r="G11" s="399"/>
      <c r="H11" s="399"/>
      <c r="I11" s="399"/>
      <c r="J11" s="399"/>
      <c r="K11" s="399"/>
      <c r="L11" s="399"/>
    </row>
    <row r="12" spans="1:44" x14ac:dyDescent="0.25">
      <c r="A12" s="403" t="str">
        <f>'1. паспорт местоположение'!A12:C12</f>
        <v>Н_16-0190</v>
      </c>
      <c r="B12" s="403"/>
      <c r="C12" s="403"/>
      <c r="D12" s="403"/>
      <c r="E12" s="403"/>
      <c r="F12" s="403"/>
      <c r="G12" s="403"/>
      <c r="H12" s="403"/>
      <c r="I12" s="403"/>
      <c r="J12" s="403"/>
      <c r="K12" s="403"/>
      <c r="L12" s="403"/>
    </row>
    <row r="13" spans="1:44" x14ac:dyDescent="0.25">
      <c r="A13" s="396" t="s">
        <v>5</v>
      </c>
      <c r="B13" s="396"/>
      <c r="C13" s="396"/>
      <c r="D13" s="396"/>
      <c r="E13" s="396"/>
      <c r="F13" s="396"/>
      <c r="G13" s="396"/>
      <c r="H13" s="396"/>
      <c r="I13" s="396"/>
      <c r="J13" s="396"/>
      <c r="K13" s="396"/>
      <c r="L13" s="396"/>
    </row>
    <row r="14" spans="1:44" ht="18.75" x14ac:dyDescent="0.25">
      <c r="A14" s="407"/>
      <c r="B14" s="407"/>
      <c r="C14" s="407"/>
      <c r="D14" s="407"/>
      <c r="E14" s="407"/>
      <c r="F14" s="407"/>
      <c r="G14" s="407"/>
      <c r="H14" s="407"/>
      <c r="I14" s="407"/>
      <c r="J14" s="407"/>
      <c r="K14" s="407"/>
      <c r="L14" s="407"/>
    </row>
    <row r="15" spans="1:44" x14ac:dyDescent="0.25">
      <c r="A15" s="403"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03"/>
      <c r="C15" s="403"/>
      <c r="D15" s="403"/>
      <c r="E15" s="403"/>
      <c r="F15" s="403"/>
      <c r="G15" s="403"/>
      <c r="H15" s="403"/>
      <c r="I15" s="403"/>
      <c r="J15" s="403"/>
      <c r="K15" s="403"/>
      <c r="L15" s="403"/>
    </row>
    <row r="16" spans="1:44" x14ac:dyDescent="0.25">
      <c r="A16" s="396" t="s">
        <v>4</v>
      </c>
      <c r="B16" s="396"/>
      <c r="C16" s="396"/>
      <c r="D16" s="396"/>
      <c r="E16" s="396"/>
      <c r="F16" s="396"/>
      <c r="G16" s="396"/>
      <c r="H16" s="396"/>
      <c r="I16" s="396"/>
      <c r="J16" s="396"/>
      <c r="K16" s="396"/>
      <c r="L16" s="396"/>
    </row>
    <row r="17" spans="1:12" ht="15.75" customHeight="1" x14ac:dyDescent="0.25">
      <c r="L17" s="100"/>
    </row>
    <row r="18" spans="1:12" x14ac:dyDescent="0.25">
      <c r="K18" s="99"/>
    </row>
    <row r="19" spans="1:12" ht="15.75" customHeight="1" x14ac:dyDescent="0.25">
      <c r="A19" s="463" t="s">
        <v>489</v>
      </c>
      <c r="B19" s="463"/>
      <c r="C19" s="463"/>
      <c r="D19" s="463"/>
      <c r="E19" s="463"/>
      <c r="F19" s="463"/>
      <c r="G19" s="463"/>
      <c r="H19" s="463"/>
      <c r="I19" s="463"/>
      <c r="J19" s="463"/>
      <c r="K19" s="463"/>
      <c r="L19" s="463"/>
    </row>
    <row r="20" spans="1:12" x14ac:dyDescent="0.25">
      <c r="A20" s="69"/>
      <c r="B20" s="69"/>
      <c r="C20" s="98"/>
      <c r="D20" s="98"/>
      <c r="E20" s="98"/>
      <c r="F20" s="98"/>
      <c r="G20" s="98"/>
      <c r="H20" s="98"/>
      <c r="I20" s="98"/>
      <c r="J20" s="98"/>
      <c r="K20" s="98"/>
      <c r="L20" s="98"/>
    </row>
    <row r="21" spans="1:12" ht="28.5" customHeight="1" x14ac:dyDescent="0.25">
      <c r="A21" s="464" t="s">
        <v>217</v>
      </c>
      <c r="B21" s="464" t="s">
        <v>216</v>
      </c>
      <c r="C21" s="470" t="s">
        <v>421</v>
      </c>
      <c r="D21" s="470"/>
      <c r="E21" s="470"/>
      <c r="F21" s="470"/>
      <c r="G21" s="470"/>
      <c r="H21" s="470"/>
      <c r="I21" s="465" t="s">
        <v>215</v>
      </c>
      <c r="J21" s="467" t="s">
        <v>423</v>
      </c>
      <c r="K21" s="464" t="s">
        <v>214</v>
      </c>
      <c r="L21" s="466" t="s">
        <v>422</v>
      </c>
    </row>
    <row r="22" spans="1:12" ht="58.5" customHeight="1" x14ac:dyDescent="0.25">
      <c r="A22" s="464"/>
      <c r="B22" s="464"/>
      <c r="C22" s="471" t="s">
        <v>742</v>
      </c>
      <c r="D22" s="471"/>
      <c r="E22" s="471" t="s">
        <v>9</v>
      </c>
      <c r="F22" s="471"/>
      <c r="G22" s="471" t="s">
        <v>743</v>
      </c>
      <c r="H22" s="471"/>
      <c r="I22" s="465"/>
      <c r="J22" s="468"/>
      <c r="K22" s="464"/>
      <c r="L22" s="466"/>
    </row>
    <row r="23" spans="1:12" ht="31.5" x14ac:dyDescent="0.25">
      <c r="A23" s="464"/>
      <c r="B23" s="464"/>
      <c r="C23" s="97" t="s">
        <v>213</v>
      </c>
      <c r="D23" s="97" t="s">
        <v>212</v>
      </c>
      <c r="E23" s="97" t="s">
        <v>213</v>
      </c>
      <c r="F23" s="97" t="s">
        <v>212</v>
      </c>
      <c r="G23" s="97" t="s">
        <v>213</v>
      </c>
      <c r="H23" s="97" t="s">
        <v>212</v>
      </c>
      <c r="I23" s="465"/>
      <c r="J23" s="469"/>
      <c r="K23" s="464"/>
      <c r="L23" s="466"/>
    </row>
    <row r="24" spans="1:12" x14ac:dyDescent="0.25">
      <c r="A24" s="76">
        <v>1</v>
      </c>
      <c r="B24" s="76">
        <v>2</v>
      </c>
      <c r="C24" s="97">
        <v>3</v>
      </c>
      <c r="D24" s="97">
        <v>4</v>
      </c>
      <c r="E24" s="97">
        <v>5</v>
      </c>
      <c r="F24" s="97">
        <v>6</v>
      </c>
      <c r="G24" s="97">
        <v>7</v>
      </c>
      <c r="H24" s="97">
        <v>8</v>
      </c>
      <c r="I24" s="97">
        <v>9</v>
      </c>
      <c r="J24" s="97">
        <v>10</v>
      </c>
      <c r="K24" s="97">
        <v>11</v>
      </c>
      <c r="L24" s="97">
        <v>12</v>
      </c>
    </row>
    <row r="25" spans="1:12" x14ac:dyDescent="0.25">
      <c r="A25" s="92">
        <v>1</v>
      </c>
      <c r="B25" s="93" t="s">
        <v>211</v>
      </c>
      <c r="C25" s="95"/>
      <c r="D25" s="95"/>
      <c r="E25" s="95"/>
      <c r="F25" s="95"/>
      <c r="G25" s="95"/>
      <c r="H25" s="95"/>
      <c r="I25" s="95"/>
      <c r="J25" s="95"/>
      <c r="K25" s="90"/>
      <c r="L25" s="109"/>
    </row>
    <row r="26" spans="1:12" ht="21.75" customHeight="1" x14ac:dyDescent="0.25">
      <c r="A26" s="92" t="s">
        <v>210</v>
      </c>
      <c r="B26" s="96" t="s">
        <v>428</v>
      </c>
      <c r="C26" s="320">
        <v>42485</v>
      </c>
      <c r="D26" s="320">
        <v>42515</v>
      </c>
      <c r="E26" s="320">
        <v>42485</v>
      </c>
      <c r="F26" s="320">
        <v>42515</v>
      </c>
      <c r="G26" s="320">
        <v>42485</v>
      </c>
      <c r="H26" s="320">
        <v>42515</v>
      </c>
      <c r="I26" s="317">
        <v>100</v>
      </c>
      <c r="J26" s="317"/>
      <c r="K26" s="90"/>
      <c r="L26" s="90"/>
    </row>
    <row r="27" spans="1:12" s="72" customFormat="1" ht="39" customHeight="1" x14ac:dyDescent="0.25">
      <c r="A27" s="92" t="s">
        <v>209</v>
      </c>
      <c r="B27" s="96" t="s">
        <v>430</v>
      </c>
      <c r="C27" s="321" t="s">
        <v>525</v>
      </c>
      <c r="D27" s="321" t="s">
        <v>525</v>
      </c>
      <c r="E27" s="321" t="s">
        <v>525</v>
      </c>
      <c r="F27" s="321" t="s">
        <v>525</v>
      </c>
      <c r="G27" s="321" t="s">
        <v>525</v>
      </c>
      <c r="H27" s="321" t="s">
        <v>525</v>
      </c>
      <c r="I27" s="321"/>
      <c r="J27" s="321"/>
      <c r="K27" s="90"/>
      <c r="L27" s="90"/>
    </row>
    <row r="28" spans="1:12" s="72" customFormat="1" ht="70.5" customHeight="1" x14ac:dyDescent="0.25">
      <c r="A28" s="92" t="s">
        <v>429</v>
      </c>
      <c r="B28" s="96" t="s">
        <v>434</v>
      </c>
      <c r="C28" s="321" t="s">
        <v>525</v>
      </c>
      <c r="D28" s="321" t="s">
        <v>525</v>
      </c>
      <c r="E28" s="321" t="s">
        <v>525</v>
      </c>
      <c r="F28" s="321" t="s">
        <v>525</v>
      </c>
      <c r="G28" s="321" t="s">
        <v>525</v>
      </c>
      <c r="H28" s="321" t="s">
        <v>525</v>
      </c>
      <c r="I28" s="321"/>
      <c r="J28" s="321"/>
      <c r="K28" s="90"/>
      <c r="L28" s="90"/>
    </row>
    <row r="29" spans="1:12" s="72" customFormat="1" ht="54" customHeight="1" x14ac:dyDescent="0.25">
      <c r="A29" s="92" t="s">
        <v>208</v>
      </c>
      <c r="B29" s="96" t="s">
        <v>433</v>
      </c>
      <c r="C29" s="321" t="s">
        <v>525</v>
      </c>
      <c r="D29" s="321" t="s">
        <v>525</v>
      </c>
      <c r="E29" s="321" t="s">
        <v>525</v>
      </c>
      <c r="F29" s="321" t="s">
        <v>525</v>
      </c>
      <c r="G29" s="321" t="s">
        <v>525</v>
      </c>
      <c r="H29" s="321" t="s">
        <v>525</v>
      </c>
      <c r="I29" s="321"/>
      <c r="J29" s="321"/>
      <c r="K29" s="90"/>
      <c r="L29" s="90"/>
    </row>
    <row r="30" spans="1:12" s="72" customFormat="1" ht="42" customHeight="1" x14ac:dyDescent="0.25">
      <c r="A30" s="92" t="s">
        <v>207</v>
      </c>
      <c r="B30" s="96" t="s">
        <v>435</v>
      </c>
      <c r="C30" s="321" t="s">
        <v>525</v>
      </c>
      <c r="D30" s="321" t="s">
        <v>525</v>
      </c>
      <c r="E30" s="321" t="s">
        <v>525</v>
      </c>
      <c r="F30" s="321" t="s">
        <v>525</v>
      </c>
      <c r="G30" s="321" t="s">
        <v>525</v>
      </c>
      <c r="H30" s="321" t="s">
        <v>525</v>
      </c>
      <c r="I30" s="321"/>
      <c r="J30" s="321"/>
      <c r="K30" s="90"/>
      <c r="L30" s="90"/>
    </row>
    <row r="31" spans="1:12" s="72" customFormat="1" ht="37.5" customHeight="1" x14ac:dyDescent="0.25">
      <c r="A31" s="92" t="s">
        <v>206</v>
      </c>
      <c r="B31" s="91" t="s">
        <v>431</v>
      </c>
      <c r="C31" s="320">
        <v>42423</v>
      </c>
      <c r="D31" s="320">
        <v>42513</v>
      </c>
      <c r="E31" s="320">
        <v>42423</v>
      </c>
      <c r="F31" s="320">
        <v>42513</v>
      </c>
      <c r="G31" s="320">
        <v>42423</v>
      </c>
      <c r="H31" s="320">
        <v>42513</v>
      </c>
      <c r="I31" s="317">
        <v>100</v>
      </c>
      <c r="J31" s="317"/>
      <c r="K31" s="90"/>
      <c r="L31" s="90"/>
    </row>
    <row r="32" spans="1:12" s="72" customFormat="1" ht="31.5" x14ac:dyDescent="0.25">
      <c r="A32" s="92" t="s">
        <v>204</v>
      </c>
      <c r="B32" s="91" t="s">
        <v>436</v>
      </c>
      <c r="C32" s="320">
        <v>42513</v>
      </c>
      <c r="D32" s="320">
        <v>42605</v>
      </c>
      <c r="E32" s="320">
        <v>42513</v>
      </c>
      <c r="F32" s="320">
        <v>42605</v>
      </c>
      <c r="G32" s="320">
        <v>42513</v>
      </c>
      <c r="H32" s="320">
        <v>42605</v>
      </c>
      <c r="I32" s="317">
        <v>100</v>
      </c>
      <c r="J32" s="317"/>
      <c r="K32" s="90"/>
      <c r="L32" s="90"/>
    </row>
    <row r="33" spans="1:12" s="72" customFormat="1" ht="37.5" customHeight="1" x14ac:dyDescent="0.25">
      <c r="A33" s="92" t="s">
        <v>447</v>
      </c>
      <c r="B33" s="91" t="s">
        <v>368</v>
      </c>
      <c r="C33" s="321" t="s">
        <v>525</v>
      </c>
      <c r="D33" s="321" t="s">
        <v>525</v>
      </c>
      <c r="E33" s="321" t="s">
        <v>525</v>
      </c>
      <c r="F33" s="321" t="s">
        <v>525</v>
      </c>
      <c r="G33" s="321" t="s">
        <v>525</v>
      </c>
      <c r="H33" s="321" t="s">
        <v>525</v>
      </c>
      <c r="I33" s="321"/>
      <c r="J33" s="321"/>
      <c r="K33" s="90"/>
      <c r="L33" s="90"/>
    </row>
    <row r="34" spans="1:12" s="72" customFormat="1" ht="47.25" customHeight="1" x14ac:dyDescent="0.25">
      <c r="A34" s="92" t="s">
        <v>448</v>
      </c>
      <c r="B34" s="91" t="s">
        <v>440</v>
      </c>
      <c r="C34" s="321" t="s">
        <v>525</v>
      </c>
      <c r="D34" s="321" t="s">
        <v>525</v>
      </c>
      <c r="E34" s="321" t="s">
        <v>525</v>
      </c>
      <c r="F34" s="321" t="s">
        <v>525</v>
      </c>
      <c r="G34" s="321" t="s">
        <v>525</v>
      </c>
      <c r="H34" s="321" t="s">
        <v>525</v>
      </c>
      <c r="I34" s="321"/>
      <c r="J34" s="321"/>
      <c r="K34" s="94"/>
      <c r="L34" s="90"/>
    </row>
    <row r="35" spans="1:12" s="72" customFormat="1" ht="49.5" customHeight="1" x14ac:dyDescent="0.25">
      <c r="A35" s="92" t="s">
        <v>449</v>
      </c>
      <c r="B35" s="91" t="s">
        <v>205</v>
      </c>
      <c r="C35" s="320">
        <v>42605</v>
      </c>
      <c r="D35" s="320">
        <v>42636</v>
      </c>
      <c r="E35" s="320">
        <v>42605</v>
      </c>
      <c r="F35" s="320">
        <v>42636</v>
      </c>
      <c r="G35" s="320">
        <v>42605</v>
      </c>
      <c r="H35" s="320">
        <v>42636</v>
      </c>
      <c r="I35" s="317">
        <v>100</v>
      </c>
      <c r="J35" s="317"/>
      <c r="K35" s="94"/>
      <c r="L35" s="90"/>
    </row>
    <row r="36" spans="1:12" ht="37.5" customHeight="1" x14ac:dyDescent="0.25">
      <c r="A36" s="92" t="s">
        <v>450</v>
      </c>
      <c r="B36" s="91" t="s">
        <v>432</v>
      </c>
      <c r="C36" s="321" t="s">
        <v>525</v>
      </c>
      <c r="D36" s="321" t="s">
        <v>525</v>
      </c>
      <c r="E36" s="321" t="s">
        <v>525</v>
      </c>
      <c r="F36" s="321" t="s">
        <v>525</v>
      </c>
      <c r="G36" s="321" t="s">
        <v>525</v>
      </c>
      <c r="H36" s="321" t="s">
        <v>525</v>
      </c>
      <c r="I36" s="321"/>
      <c r="J36" s="321"/>
      <c r="K36" s="90"/>
      <c r="L36" s="90"/>
    </row>
    <row r="37" spans="1:12" x14ac:dyDescent="0.25">
      <c r="A37" s="92" t="s">
        <v>451</v>
      </c>
      <c r="B37" s="91" t="s">
        <v>203</v>
      </c>
      <c r="C37" s="320">
        <v>42605</v>
      </c>
      <c r="D37" s="320">
        <v>42636</v>
      </c>
      <c r="E37" s="320">
        <v>42605</v>
      </c>
      <c r="F37" s="320">
        <v>42636</v>
      </c>
      <c r="G37" s="320">
        <v>42605</v>
      </c>
      <c r="H37" s="320">
        <v>42636</v>
      </c>
      <c r="I37" s="317">
        <v>100</v>
      </c>
      <c r="J37" s="317"/>
      <c r="K37" s="90"/>
      <c r="L37" s="90"/>
    </row>
    <row r="38" spans="1:12" x14ac:dyDescent="0.25">
      <c r="A38" s="92" t="s">
        <v>452</v>
      </c>
      <c r="B38" s="93" t="s">
        <v>202</v>
      </c>
      <c r="C38" s="322"/>
      <c r="D38" s="322"/>
      <c r="E38" s="322"/>
      <c r="F38" s="322"/>
      <c r="G38" s="322"/>
      <c r="H38" s="322"/>
      <c r="I38" s="316"/>
      <c r="J38" s="316"/>
      <c r="K38" s="90"/>
      <c r="L38" s="90"/>
    </row>
    <row r="39" spans="1:12" ht="63" x14ac:dyDescent="0.25">
      <c r="A39" s="92">
        <v>2</v>
      </c>
      <c r="B39" s="91" t="s">
        <v>437</v>
      </c>
      <c r="C39" s="320">
        <v>42636</v>
      </c>
      <c r="D39" s="320">
        <v>42667</v>
      </c>
      <c r="E39" s="320">
        <v>42636</v>
      </c>
      <c r="F39" s="320">
        <v>42667</v>
      </c>
      <c r="G39" s="320">
        <v>42636</v>
      </c>
      <c r="H39" s="320">
        <v>42667</v>
      </c>
      <c r="I39" s="317">
        <v>100</v>
      </c>
      <c r="J39" s="317"/>
      <c r="K39" s="90"/>
      <c r="L39" s="90"/>
    </row>
    <row r="40" spans="1:12" ht="33.75" customHeight="1" x14ac:dyDescent="0.25">
      <c r="A40" s="92" t="s">
        <v>201</v>
      </c>
      <c r="B40" s="91" t="s">
        <v>439</v>
      </c>
      <c r="C40" s="320">
        <v>42535</v>
      </c>
      <c r="D40" s="320">
        <v>42612</v>
      </c>
      <c r="E40" s="320">
        <v>42535</v>
      </c>
      <c r="F40" s="320">
        <v>42612</v>
      </c>
      <c r="G40" s="320">
        <v>42535</v>
      </c>
      <c r="H40" s="320">
        <v>42612</v>
      </c>
      <c r="I40" s="317">
        <v>100</v>
      </c>
      <c r="J40" s="317"/>
      <c r="K40" s="90"/>
      <c r="L40" s="90"/>
    </row>
    <row r="41" spans="1:12" ht="63" customHeight="1" x14ac:dyDescent="0.25">
      <c r="A41" s="92" t="s">
        <v>200</v>
      </c>
      <c r="B41" s="93" t="s">
        <v>520</v>
      </c>
      <c r="C41" s="322"/>
      <c r="D41" s="322"/>
      <c r="E41" s="322"/>
      <c r="F41" s="322"/>
      <c r="G41" s="322"/>
      <c r="H41" s="322"/>
      <c r="I41" s="316"/>
      <c r="J41" s="316"/>
      <c r="K41" s="90"/>
      <c r="L41" s="90"/>
    </row>
    <row r="42" spans="1:12" ht="58.5" customHeight="1" x14ac:dyDescent="0.25">
      <c r="A42" s="92">
        <v>3</v>
      </c>
      <c r="B42" s="91" t="s">
        <v>438</v>
      </c>
      <c r="C42" s="320">
        <v>42667</v>
      </c>
      <c r="D42" s="320">
        <v>42673</v>
      </c>
      <c r="E42" s="320">
        <v>42667</v>
      </c>
      <c r="F42" s="320">
        <v>42673</v>
      </c>
      <c r="G42" s="320">
        <v>42667</v>
      </c>
      <c r="H42" s="320">
        <v>42673</v>
      </c>
      <c r="I42" s="317">
        <v>100</v>
      </c>
      <c r="J42" s="317"/>
      <c r="K42" s="90"/>
      <c r="L42" s="90"/>
    </row>
    <row r="43" spans="1:12" ht="34.5" customHeight="1" x14ac:dyDescent="0.25">
      <c r="A43" s="92" t="s">
        <v>199</v>
      </c>
      <c r="B43" s="91" t="s">
        <v>197</v>
      </c>
      <c r="C43" s="320">
        <v>42535</v>
      </c>
      <c r="D43" s="320">
        <v>42612</v>
      </c>
      <c r="E43" s="320">
        <v>42535</v>
      </c>
      <c r="F43" s="320">
        <v>42612</v>
      </c>
      <c r="G43" s="320">
        <v>42535</v>
      </c>
      <c r="H43" s="320">
        <v>42612</v>
      </c>
      <c r="I43" s="317">
        <v>100</v>
      </c>
      <c r="J43" s="317"/>
      <c r="K43" s="90"/>
      <c r="L43" s="90"/>
    </row>
    <row r="44" spans="1:12" ht="24.75" customHeight="1" x14ac:dyDescent="0.25">
      <c r="A44" s="92" t="s">
        <v>198</v>
      </c>
      <c r="B44" s="91" t="s">
        <v>195</v>
      </c>
      <c r="C44" s="320">
        <v>42667</v>
      </c>
      <c r="D44" s="320">
        <v>42916</v>
      </c>
      <c r="E44" s="320">
        <v>42667</v>
      </c>
      <c r="F44" s="320">
        <v>42916</v>
      </c>
      <c r="G44" s="320">
        <v>42667</v>
      </c>
      <c r="H44" s="320">
        <v>42916</v>
      </c>
      <c r="I44" s="316">
        <v>100</v>
      </c>
      <c r="J44" s="316"/>
      <c r="K44" s="90"/>
      <c r="L44" s="90"/>
    </row>
    <row r="45" spans="1:12" ht="90.75" customHeight="1" x14ac:dyDescent="0.25">
      <c r="A45" s="92" t="s">
        <v>196</v>
      </c>
      <c r="B45" s="91" t="s">
        <v>443</v>
      </c>
      <c r="C45" s="321" t="s">
        <v>525</v>
      </c>
      <c r="D45" s="321" t="s">
        <v>525</v>
      </c>
      <c r="E45" s="321" t="s">
        <v>525</v>
      </c>
      <c r="F45" s="321" t="s">
        <v>525</v>
      </c>
      <c r="G45" s="321" t="s">
        <v>525</v>
      </c>
      <c r="H45" s="321" t="s">
        <v>525</v>
      </c>
      <c r="I45" s="321"/>
      <c r="J45" s="321"/>
      <c r="K45" s="90"/>
      <c r="L45" s="90"/>
    </row>
    <row r="46" spans="1:12" ht="167.25" customHeight="1" x14ac:dyDescent="0.25">
      <c r="A46" s="92" t="s">
        <v>194</v>
      </c>
      <c r="B46" s="91" t="s">
        <v>441</v>
      </c>
      <c r="C46" s="321" t="s">
        <v>525</v>
      </c>
      <c r="D46" s="321" t="s">
        <v>525</v>
      </c>
      <c r="E46" s="321" t="s">
        <v>525</v>
      </c>
      <c r="F46" s="321" t="s">
        <v>525</v>
      </c>
      <c r="G46" s="321" t="s">
        <v>525</v>
      </c>
      <c r="H46" s="321" t="s">
        <v>525</v>
      </c>
      <c r="I46" s="321"/>
      <c r="J46" s="321"/>
      <c r="K46" s="90"/>
      <c r="L46" s="90"/>
    </row>
    <row r="47" spans="1:12" ht="30.75" customHeight="1" x14ac:dyDescent="0.25">
      <c r="A47" s="92" t="s">
        <v>192</v>
      </c>
      <c r="B47" s="91" t="s">
        <v>193</v>
      </c>
      <c r="C47" s="320">
        <v>42916</v>
      </c>
      <c r="D47" s="320">
        <v>42946</v>
      </c>
      <c r="E47" s="320">
        <v>42916</v>
      </c>
      <c r="F47" s="320">
        <v>42946</v>
      </c>
      <c r="G47" s="320">
        <v>42916</v>
      </c>
      <c r="H47" s="320">
        <v>42946</v>
      </c>
      <c r="I47" s="316">
        <v>100</v>
      </c>
      <c r="J47" s="316"/>
      <c r="K47" s="90"/>
      <c r="L47" s="90"/>
    </row>
    <row r="48" spans="1:12" ht="37.5" customHeight="1" x14ac:dyDescent="0.25">
      <c r="A48" s="92" t="s">
        <v>453</v>
      </c>
      <c r="B48" s="93" t="s">
        <v>191</v>
      </c>
      <c r="C48" s="322"/>
      <c r="D48" s="322"/>
      <c r="E48" s="322"/>
      <c r="F48" s="322"/>
      <c r="G48" s="322"/>
      <c r="H48" s="322"/>
      <c r="I48" s="316"/>
      <c r="J48" s="316"/>
      <c r="K48" s="90"/>
      <c r="L48" s="90"/>
    </row>
    <row r="49" spans="1:12" ht="35.25" customHeight="1" x14ac:dyDescent="0.25">
      <c r="A49" s="92">
        <v>4</v>
      </c>
      <c r="B49" s="91" t="s">
        <v>189</v>
      </c>
      <c r="C49" s="320">
        <v>42946</v>
      </c>
      <c r="D49" s="320">
        <v>43038</v>
      </c>
      <c r="E49" s="320">
        <v>42946</v>
      </c>
      <c r="F49" s="320">
        <v>43038</v>
      </c>
      <c r="G49" s="320">
        <v>42946</v>
      </c>
      <c r="H49" s="320">
        <v>43038</v>
      </c>
      <c r="I49" s="316">
        <v>100</v>
      </c>
      <c r="J49" s="316"/>
      <c r="K49" s="90"/>
      <c r="L49" s="90"/>
    </row>
    <row r="50" spans="1:12" ht="86.25" customHeight="1" x14ac:dyDescent="0.25">
      <c r="A50" s="92" t="s">
        <v>190</v>
      </c>
      <c r="B50" s="91" t="s">
        <v>442</v>
      </c>
      <c r="C50" s="320">
        <v>43038</v>
      </c>
      <c r="D50" s="320">
        <v>43100</v>
      </c>
      <c r="E50" s="320">
        <v>43038</v>
      </c>
      <c r="F50" s="320">
        <v>43100</v>
      </c>
      <c r="G50" s="320">
        <v>43038</v>
      </c>
      <c r="H50" s="320">
        <v>43100</v>
      </c>
      <c r="I50" s="316">
        <v>100</v>
      </c>
      <c r="J50" s="316"/>
      <c r="K50" s="90"/>
      <c r="L50" s="90"/>
    </row>
    <row r="51" spans="1:12" ht="77.25" customHeight="1" x14ac:dyDescent="0.25">
      <c r="A51" s="92" t="s">
        <v>188</v>
      </c>
      <c r="B51" s="91" t="s">
        <v>444</v>
      </c>
      <c r="C51" s="320">
        <v>43038</v>
      </c>
      <c r="D51" s="320">
        <v>43100</v>
      </c>
      <c r="E51" s="320">
        <v>43038</v>
      </c>
      <c r="F51" s="320">
        <v>43100</v>
      </c>
      <c r="G51" s="320">
        <v>43038</v>
      </c>
      <c r="H51" s="320">
        <v>43100</v>
      </c>
      <c r="I51" s="316">
        <v>100</v>
      </c>
      <c r="J51" s="316"/>
      <c r="K51" s="90"/>
      <c r="L51" s="90"/>
    </row>
    <row r="52" spans="1:12" ht="71.25" customHeight="1" x14ac:dyDescent="0.25">
      <c r="A52" s="92" t="s">
        <v>186</v>
      </c>
      <c r="B52" s="91" t="s">
        <v>187</v>
      </c>
      <c r="C52" s="320">
        <v>43038</v>
      </c>
      <c r="D52" s="320">
        <v>43100</v>
      </c>
      <c r="E52" s="320">
        <v>43038</v>
      </c>
      <c r="F52" s="320">
        <v>43100</v>
      </c>
      <c r="G52" s="320">
        <v>43038</v>
      </c>
      <c r="H52" s="320">
        <v>43100</v>
      </c>
      <c r="I52" s="316">
        <v>100</v>
      </c>
      <c r="J52" s="316"/>
      <c r="K52" s="90"/>
      <c r="L52" s="90"/>
    </row>
    <row r="53" spans="1:12" ht="48" customHeight="1" x14ac:dyDescent="0.25">
      <c r="A53" s="92" t="s">
        <v>184</v>
      </c>
      <c r="B53" s="156" t="s">
        <v>445</v>
      </c>
      <c r="C53" s="320">
        <v>43038</v>
      </c>
      <c r="D53" s="320">
        <v>43100</v>
      </c>
      <c r="E53" s="320">
        <v>43038</v>
      </c>
      <c r="F53" s="320">
        <v>43100</v>
      </c>
      <c r="G53" s="320">
        <v>43038</v>
      </c>
      <c r="H53" s="320">
        <v>43100</v>
      </c>
      <c r="I53" s="316">
        <v>100</v>
      </c>
      <c r="J53" s="316"/>
      <c r="K53" s="90"/>
      <c r="L53" s="90"/>
    </row>
    <row r="54" spans="1:12" ht="46.5" customHeight="1" x14ac:dyDescent="0.25">
      <c r="A54" s="92" t="s">
        <v>446</v>
      </c>
      <c r="B54" s="91" t="s">
        <v>185</v>
      </c>
      <c r="C54" s="320">
        <v>43038</v>
      </c>
      <c r="D54" s="320">
        <v>43100</v>
      </c>
      <c r="E54" s="320">
        <v>43038</v>
      </c>
      <c r="F54" s="320">
        <v>43100</v>
      </c>
      <c r="G54" s="320">
        <v>43038</v>
      </c>
      <c r="H54" s="320">
        <v>43100</v>
      </c>
      <c r="I54" s="316">
        <v>100</v>
      </c>
      <c r="J54" s="316"/>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2020-02-11T08:23:22Z</dcterms:modified>
</cp:coreProperties>
</file>