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BDFD7C9-AC79-4CDF-9A82-5258F8709AFC}"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ПС'!$A$1:$T$41</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закупке'!$A$1:$AV$41</definedName>
    <definedName name="_xlnm.Print_Area" localSheetId="11">'8. Общие сведения'!$A$1:$C$135</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37" i="5" l="1"/>
  <c r="AE37" i="5" s="1"/>
  <c r="AD35" i="5"/>
  <c r="X38" i="5"/>
  <c r="AB37" i="5"/>
  <c r="X37" i="5"/>
  <c r="R37" i="5"/>
  <c r="L35" i="5"/>
  <c r="L37" i="5" s="1"/>
  <c r="D35" i="5"/>
  <c r="D37" i="5" s="1"/>
  <c r="B63" i="25"/>
  <c r="B59" i="25"/>
  <c r="B57" i="25"/>
  <c r="B56" i="25"/>
  <c r="B54" i="25"/>
  <c r="B55" i="25" s="1"/>
  <c r="B51" i="25"/>
  <c r="B33" i="25"/>
  <c r="K30" i="15"/>
  <c r="K24" i="15"/>
  <c r="D81" i="23"/>
  <c r="C81" i="23"/>
  <c r="R34" i="14"/>
  <c r="S34" i="14" s="1"/>
  <c r="Q34" i="14"/>
  <c r="E33" i="14"/>
  <c r="E32" i="14"/>
  <c r="E31" i="14"/>
  <c r="E30" i="14"/>
  <c r="E29" i="14"/>
  <c r="E28" i="14"/>
  <c r="E27" i="14"/>
  <c r="E26" i="14"/>
  <c r="E25" i="14"/>
  <c r="O26" i="13"/>
  <c r="B137" i="23" l="1"/>
  <c r="G136" i="23"/>
  <c r="H136" i="23" s="1"/>
  <c r="I136" i="23" s="1"/>
  <c r="J136" i="23" s="1"/>
  <c r="K136" i="23" s="1"/>
  <c r="L136" i="23" s="1"/>
  <c r="M136" i="23" s="1"/>
  <c r="N136" i="23" s="1"/>
  <c r="O136" i="23" s="1"/>
  <c r="P136" i="23" s="1"/>
  <c r="Q136" i="23" s="1"/>
  <c r="R136" i="23" s="1"/>
  <c r="S136" i="23" s="1"/>
  <c r="T136" i="23" s="1"/>
  <c r="U136" i="23" s="1"/>
  <c r="V136" i="23" s="1"/>
  <c r="W136" i="23" s="1"/>
  <c r="X136" i="23" s="1"/>
  <c r="Y136" i="23" s="1"/>
  <c r="Z136" i="23" s="1"/>
  <c r="AA136" i="23" s="1"/>
  <c r="AB136" i="23" s="1"/>
  <c r="AC136" i="23" s="1"/>
  <c r="AD136" i="23" s="1"/>
  <c r="AE136" i="23" s="1"/>
  <c r="AF136" i="23" s="1"/>
  <c r="AG136" i="23" s="1"/>
  <c r="AH136" i="23" s="1"/>
  <c r="AI136" i="23" s="1"/>
  <c r="AJ136" i="23" s="1"/>
  <c r="AK136" i="23" s="1"/>
  <c r="AL136" i="23" s="1"/>
  <c r="AM136" i="23" s="1"/>
  <c r="AN136" i="23" s="1"/>
  <c r="AO136" i="23" s="1"/>
  <c r="AP136" i="23" s="1"/>
  <c r="AQ136" i="23" s="1"/>
  <c r="AR136" i="23" s="1"/>
  <c r="AS136" i="23" s="1"/>
  <c r="AT136" i="23" s="1"/>
  <c r="AU136" i="23" s="1"/>
  <c r="AV136" i="23" s="1"/>
  <c r="AW136" i="23" s="1"/>
  <c r="AX136" i="23" s="1"/>
  <c r="AY136" i="23" s="1"/>
  <c r="B75" i="25" l="1"/>
  <c r="B71" i="25"/>
  <c r="C140" i="23" l="1"/>
  <c r="D140" i="23" s="1"/>
  <c r="B139" i="23"/>
  <c r="B50" i="23"/>
  <c r="C107" i="23"/>
  <c r="B81" i="23"/>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L23" i="15"/>
  <c r="M23" i="15" s="1"/>
  <c r="N23" i="15" s="1"/>
  <c r="O23" i="15" s="1"/>
  <c r="P23" i="15" s="1"/>
  <c r="Q23" i="15" s="1"/>
  <c r="R23" i="15" s="1"/>
  <c r="S23" i="15" s="1"/>
  <c r="T23" i="15" s="1"/>
  <c r="U23" i="15" s="1"/>
  <c r="V23" i="15" s="1"/>
  <c r="W23" i="15" s="1"/>
  <c r="X23" i="15" s="1"/>
  <c r="Y23" i="15" s="1"/>
  <c r="Z23" i="15" s="1"/>
  <c r="AA23" i="15" s="1"/>
  <c r="AB23" i="15" s="1"/>
  <c r="AC23" i="15" s="1"/>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G30" i="15"/>
  <c r="G24" i="15"/>
  <c r="AD34" i="5" l="1"/>
  <c r="AE34" i="5" s="1"/>
  <c r="AD30" i="5"/>
  <c r="AE30" i="5" s="1"/>
  <c r="D30" i="5"/>
  <c r="D34" i="5" s="1"/>
  <c r="B126" i="25"/>
  <c r="F34" i="24" l="1"/>
  <c r="F33" i="24"/>
  <c r="F36" i="24"/>
  <c r="F42" i="24"/>
  <c r="D117" i="23"/>
  <c r="G118" i="23" s="1"/>
  <c r="I118" i="23" s="1"/>
  <c r="I120" i="23" s="1"/>
  <c r="C109" i="23" s="1"/>
  <c r="A15" i="23"/>
  <c r="A12" i="23"/>
  <c r="A9" i="23"/>
  <c r="A5" i="23"/>
  <c r="D141" i="23"/>
  <c r="D73" i="23" s="1"/>
  <c r="C141" i="23"/>
  <c r="C73" i="23" s="1"/>
  <c r="B141" i="23"/>
  <c r="B73" i="23" s="1"/>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D137" i="23" s="1"/>
  <c r="E137" i="23" s="1"/>
  <c r="F137" i="23" s="1"/>
  <c r="G137" i="23" s="1"/>
  <c r="H137" i="23" s="1"/>
  <c r="I137" i="23" s="1"/>
  <c r="J137" i="23" s="1"/>
  <c r="D49"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B126" i="23"/>
  <c r="G119" i="23"/>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D58" i="23" s="1"/>
  <c r="D47" i="23" s="1"/>
  <c r="B52" i="23"/>
  <c r="B59" i="23"/>
  <c r="B47" i="23"/>
  <c r="B45" i="23"/>
  <c r="B44" i="23"/>
  <c r="B46" i="23" s="1"/>
  <c r="B29" i="23"/>
  <c r="B27" i="23"/>
  <c r="B25" i="23"/>
  <c r="D118" i="23" l="1"/>
  <c r="D109" i="23"/>
  <c r="C108" i="23"/>
  <c r="D67" i="23"/>
  <c r="AQ81" i="23"/>
  <c r="B48" i="23"/>
  <c r="C48" i="23"/>
  <c r="B49" i="23"/>
  <c r="F140" i="23"/>
  <c r="F141" i="23" s="1"/>
  <c r="F73" i="23" s="1"/>
  <c r="C49" i="23"/>
  <c r="C47" i="23"/>
  <c r="G120" i="23"/>
  <c r="D61" i="23"/>
  <c r="D60" i="23" s="1"/>
  <c r="B80" i="23"/>
  <c r="B66" i="23"/>
  <c r="B68" i="23" s="1"/>
  <c r="B54" i="23"/>
  <c r="D74" i="23"/>
  <c r="E58" i="23"/>
  <c r="C61" i="23"/>
  <c r="C60" i="23" s="1"/>
  <c r="C52" i="23"/>
  <c r="D52" i="23"/>
  <c r="C74" i="23"/>
  <c r="K137" i="23"/>
  <c r="E141" i="23"/>
  <c r="E73" i="23" s="1"/>
  <c r="B27" i="25"/>
  <c r="B34" i="25" l="1"/>
  <c r="E109" i="23"/>
  <c r="D108" i="23"/>
  <c r="D50" i="23" s="1"/>
  <c r="D59" i="23" s="1"/>
  <c r="D66" i="23" s="1"/>
  <c r="G140" i="23"/>
  <c r="G141" i="23" s="1"/>
  <c r="G73" i="23" s="1"/>
  <c r="C50" i="23"/>
  <c r="C59" i="23" s="1"/>
  <c r="C80" i="23" s="1"/>
  <c r="D48" i="23"/>
  <c r="L137" i="23"/>
  <c r="E49" i="23"/>
  <c r="B99" i="25"/>
  <c r="B55" i="23"/>
  <c r="B56" i="23" s="1"/>
  <c r="B69" i="23" s="1"/>
  <c r="B77" i="23" s="1"/>
  <c r="E74" i="23"/>
  <c r="E47" i="23"/>
  <c r="E61" i="23" s="1"/>
  <c r="E60" i="23" s="1"/>
  <c r="F58" i="23"/>
  <c r="E52" i="23"/>
  <c r="C76" i="23"/>
  <c r="B75" i="23"/>
  <c r="B38" i="25"/>
  <c r="AD26" i="5"/>
  <c r="H140" i="23" l="1"/>
  <c r="H141" i="23" s="1"/>
  <c r="H73" i="23" s="1"/>
  <c r="B97" i="25"/>
  <c r="E108" i="23"/>
  <c r="E50" i="23" s="1"/>
  <c r="E59" i="23" s="1"/>
  <c r="F109" i="23"/>
  <c r="C66" i="23"/>
  <c r="C68" i="23" s="1"/>
  <c r="C75" i="23" s="1"/>
  <c r="D80" i="23"/>
  <c r="E48" i="23"/>
  <c r="B70" i="23"/>
  <c r="M137" i="23"/>
  <c r="F49" i="23"/>
  <c r="B82" i="23"/>
  <c r="D68" i="23"/>
  <c r="D76" i="23"/>
  <c r="E67" i="23"/>
  <c r="F74" i="23"/>
  <c r="G58" i="23"/>
  <c r="F47" i="23"/>
  <c r="F52" i="23"/>
  <c r="C53" i="23"/>
  <c r="K26" i="5"/>
  <c r="K30" i="5" s="1"/>
  <c r="K34" i="5" s="1"/>
  <c r="K35" i="5" s="1"/>
  <c r="K37" i="5" s="1"/>
  <c r="I26" i="5"/>
  <c r="I30" i="5" s="1"/>
  <c r="I34" i="5" s="1"/>
  <c r="C27" i="6"/>
  <c r="S25" i="12"/>
  <c r="J25" i="12"/>
  <c r="H25" i="12"/>
  <c r="I140" i="23" l="1"/>
  <c r="I141" i="23"/>
  <c r="I73" i="23" s="1"/>
  <c r="E80" i="23"/>
  <c r="E66" i="23"/>
  <c r="E68" i="23" s="1"/>
  <c r="E75" i="23" s="1"/>
  <c r="G109" i="23"/>
  <c r="F108" i="23"/>
  <c r="F50" i="23" s="1"/>
  <c r="F59" i="23" s="1"/>
  <c r="F80" i="23" s="1"/>
  <c r="F48" i="23"/>
  <c r="G74" i="23"/>
  <c r="H58" i="23"/>
  <c r="G52" i="23"/>
  <c r="G47" i="23"/>
  <c r="C55" i="23"/>
  <c r="D53" i="23" s="1"/>
  <c r="J140" i="23"/>
  <c r="N137" i="23"/>
  <c r="G49" i="23"/>
  <c r="F67" i="23"/>
  <c r="E76" i="23"/>
  <c r="D75" i="23"/>
  <c r="B71" i="23"/>
  <c r="F61" i="23"/>
  <c r="F60" i="23" s="1"/>
  <c r="F66" i="23" l="1"/>
  <c r="F68" i="23" s="1"/>
  <c r="F75" i="23" s="1"/>
  <c r="H109" i="23"/>
  <c r="G108" i="23"/>
  <c r="G50" i="23" s="1"/>
  <c r="G59" i="23" s="1"/>
  <c r="G80" i="23" s="1"/>
  <c r="G67" i="23"/>
  <c r="G76" i="23" s="1"/>
  <c r="F76" i="23"/>
  <c r="G48" i="23"/>
  <c r="O137" i="23"/>
  <c r="H49" i="23"/>
  <c r="B78" i="23"/>
  <c r="K140" i="23"/>
  <c r="H74" i="23"/>
  <c r="I58" i="23"/>
  <c r="H52" i="23"/>
  <c r="H47" i="23"/>
  <c r="B72" i="23"/>
  <c r="J141" i="23"/>
  <c r="D55" i="23"/>
  <c r="E53" i="23" s="1"/>
  <c r="C56" i="23"/>
  <c r="C69" i="23" s="1"/>
  <c r="C82" i="23"/>
  <c r="G61" i="23"/>
  <c r="G60" i="23" s="1"/>
  <c r="H67" i="23" l="1"/>
  <c r="B85" i="23"/>
  <c r="B99" i="23" s="1"/>
  <c r="J73" i="23"/>
  <c r="I109" i="23"/>
  <c r="H108" i="23"/>
  <c r="H50" i="23" s="1"/>
  <c r="H59" i="23" s="1"/>
  <c r="H80" i="23" s="1"/>
  <c r="G66" i="23"/>
  <c r="G68" i="23" s="1"/>
  <c r="G75" i="23" s="1"/>
  <c r="H61" i="23"/>
  <c r="H60" i="23" s="1"/>
  <c r="H48" i="23"/>
  <c r="E55" i="23"/>
  <c r="F53" i="23" s="1"/>
  <c r="I74" i="23"/>
  <c r="J58" i="23"/>
  <c r="I52" i="23"/>
  <c r="I47" i="23"/>
  <c r="C77" i="23"/>
  <c r="C70" i="23"/>
  <c r="L140" i="23"/>
  <c r="L141" i="23" s="1"/>
  <c r="I67" i="23"/>
  <c r="H76" i="23"/>
  <c r="D56" i="23"/>
  <c r="D69" i="23" s="1"/>
  <c r="D82" i="23"/>
  <c r="K141" i="23"/>
  <c r="P137" i="23"/>
  <c r="I49" i="23"/>
  <c r="J30" i="15"/>
  <c r="AC30" i="15" s="1"/>
  <c r="AE30" i="15" s="1"/>
  <c r="J24" i="15"/>
  <c r="AC24" i="15" s="1"/>
  <c r="AE24" i="15" s="1"/>
  <c r="D85" i="23" l="1"/>
  <c r="D99" i="23" s="1"/>
  <c r="L73" i="23"/>
  <c r="C85" i="23"/>
  <c r="C99" i="23" s="1"/>
  <c r="K73" i="23"/>
  <c r="H66" i="23"/>
  <c r="H68" i="23" s="1"/>
  <c r="H75" i="23" s="1"/>
  <c r="I108" i="23"/>
  <c r="I50" i="23" s="1"/>
  <c r="I59" i="23" s="1"/>
  <c r="I80" i="23" s="1"/>
  <c r="J109" i="23"/>
  <c r="I48" i="23"/>
  <c r="I61" i="23"/>
  <c r="I60" i="23" s="1"/>
  <c r="F55" i="23"/>
  <c r="G53" i="23" s="1"/>
  <c r="D77" i="23"/>
  <c r="D70" i="23"/>
  <c r="M140" i="23"/>
  <c r="M141" i="23" s="1"/>
  <c r="C71" i="23"/>
  <c r="E82" i="23"/>
  <c r="E56" i="23"/>
  <c r="E69" i="23" s="1"/>
  <c r="J67" i="23"/>
  <c r="I76" i="23"/>
  <c r="J74" i="23"/>
  <c r="J47" i="23"/>
  <c r="K58" i="23"/>
  <c r="J52" i="23"/>
  <c r="Q137" i="23"/>
  <c r="J49" i="23"/>
  <c r="B112" i="25"/>
  <c r="B100" i="25"/>
  <c r="B110" i="25"/>
  <c r="E85" i="23" l="1"/>
  <c r="E99" i="23" s="1"/>
  <c r="M73" i="23"/>
  <c r="I66" i="23"/>
  <c r="I68" i="23" s="1"/>
  <c r="I75" i="23" s="1"/>
  <c r="J108" i="23"/>
  <c r="J50" i="23" s="1"/>
  <c r="J59" i="23" s="1"/>
  <c r="J80" i="23" s="1"/>
  <c r="K109" i="23"/>
  <c r="C72" i="23"/>
  <c r="C78" i="23"/>
  <c r="J48" i="23"/>
  <c r="E77" i="23"/>
  <c r="E70" i="23"/>
  <c r="D71" i="23"/>
  <c r="D72" i="23" s="1"/>
  <c r="F82" i="23"/>
  <c r="F56" i="23"/>
  <c r="F69" i="23" s="1"/>
  <c r="J61" i="23"/>
  <c r="J60" i="23" s="1"/>
  <c r="G55" i="23"/>
  <c r="R137" i="23"/>
  <c r="K49" i="23"/>
  <c r="N140" i="23"/>
  <c r="N141" i="23" s="1"/>
  <c r="F85" i="23" s="1"/>
  <c r="F99" i="23" s="1"/>
  <c r="L58" i="23"/>
  <c r="K52" i="23"/>
  <c r="K47" i="23"/>
  <c r="K74" i="23"/>
  <c r="K67" i="23"/>
  <c r="J76" i="23"/>
  <c r="O27" i="13"/>
  <c r="J66" i="23" l="1"/>
  <c r="J68" i="23" s="1"/>
  <c r="K61" i="23"/>
  <c r="K60" i="23" s="1"/>
  <c r="K108" i="23"/>
  <c r="K50" i="23" s="1"/>
  <c r="K59" i="23" s="1"/>
  <c r="L109" i="23"/>
  <c r="K48" i="23"/>
  <c r="D78" i="23"/>
  <c r="G82" i="23"/>
  <c r="G56" i="23"/>
  <c r="G69" i="23" s="1"/>
  <c r="J75" i="23"/>
  <c r="S137" i="23"/>
  <c r="L49" i="23"/>
  <c r="H53" i="23"/>
  <c r="K76" i="23"/>
  <c r="L67" i="23"/>
  <c r="L74" i="23"/>
  <c r="M58" i="23"/>
  <c r="L52" i="23"/>
  <c r="L47" i="23"/>
  <c r="F77" i="23"/>
  <c r="F70" i="23"/>
  <c r="E71" i="23"/>
  <c r="E72" i="23" s="1"/>
  <c r="O140" i="23"/>
  <c r="O141" i="23" s="1"/>
  <c r="G85" i="23" s="1"/>
  <c r="G99" i="23" s="1"/>
  <c r="G26" i="5"/>
  <c r="G30" i="5" s="1"/>
  <c r="G34" i="5" s="1"/>
  <c r="G35" i="5" s="1"/>
  <c r="G37" i="5" s="1"/>
  <c r="C40" i="7"/>
  <c r="K80" i="23" l="1"/>
  <c r="K66" i="23"/>
  <c r="K68" i="23" s="1"/>
  <c r="K75" i="23" s="1"/>
  <c r="L108" i="23"/>
  <c r="L50" i="23" s="1"/>
  <c r="L59" i="23" s="1"/>
  <c r="M109" i="23"/>
  <c r="L61" i="23"/>
  <c r="L60" i="23" s="1"/>
  <c r="L48" i="23"/>
  <c r="F71" i="23"/>
  <c r="F72" i="23" s="1"/>
  <c r="L76" i="23"/>
  <c r="M67" i="23"/>
  <c r="H55" i="23"/>
  <c r="I53" i="23" s="1"/>
  <c r="P140" i="23"/>
  <c r="P141" i="23"/>
  <c r="H85" i="23" s="1"/>
  <c r="H99" i="23" s="1"/>
  <c r="E78" i="23"/>
  <c r="M74" i="23"/>
  <c r="M52" i="23"/>
  <c r="N58" i="23"/>
  <c r="M47" i="23"/>
  <c r="T137" i="23"/>
  <c r="M49" i="23"/>
  <c r="G77" i="23"/>
  <c r="G70" i="23"/>
  <c r="C23" i="6"/>
  <c r="L66" i="23" l="1"/>
  <c r="L68" i="23" s="1"/>
  <c r="L75" i="23" s="1"/>
  <c r="M108" i="23"/>
  <c r="M50" i="23" s="1"/>
  <c r="M59" i="23" s="1"/>
  <c r="M80" i="23" s="1"/>
  <c r="N109" i="23"/>
  <c r="L80" i="23"/>
  <c r="M48" i="23"/>
  <c r="N74" i="23"/>
  <c r="O58" i="23"/>
  <c r="N52" i="23"/>
  <c r="N47" i="23"/>
  <c r="I55" i="23"/>
  <c r="J53" i="23" s="1"/>
  <c r="G71" i="23"/>
  <c r="G72" i="23" s="1"/>
  <c r="H82" i="23"/>
  <c r="H56" i="23"/>
  <c r="H69" i="23" s="1"/>
  <c r="N67" i="23"/>
  <c r="M76" i="23"/>
  <c r="U137" i="23"/>
  <c r="N49" i="23"/>
  <c r="M61" i="23"/>
  <c r="M60" i="23" s="1"/>
  <c r="F78" i="23"/>
  <c r="Q140" i="23"/>
  <c r="Q141" i="23" s="1"/>
  <c r="I85" i="23" s="1"/>
  <c r="I99" i="23" s="1"/>
  <c r="H30" i="15"/>
  <c r="F30" i="15"/>
  <c r="E30" i="15"/>
  <c r="D30" i="15"/>
  <c r="C30" i="15"/>
  <c r="H24" i="15"/>
  <c r="F24" i="15"/>
  <c r="E24" i="15"/>
  <c r="D24" i="15"/>
  <c r="C24" i="15"/>
  <c r="F28" i="24"/>
  <c r="F27" i="24"/>
  <c r="F30" i="24"/>
  <c r="F29" i="24"/>
  <c r="M66" i="23" l="1"/>
  <c r="M68" i="23" s="1"/>
  <c r="M75" i="23" s="1"/>
  <c r="N108" i="23"/>
  <c r="N50" i="23" s="1"/>
  <c r="N59" i="23" s="1"/>
  <c r="N80" i="23" s="1"/>
  <c r="O109" i="23"/>
  <c r="N48" i="23"/>
  <c r="J55" i="23"/>
  <c r="O74" i="23"/>
  <c r="P58" i="23"/>
  <c r="O52" i="23"/>
  <c r="O47" i="23"/>
  <c r="O67" i="23"/>
  <c r="N76" i="23"/>
  <c r="R140" i="23"/>
  <c r="R141" i="23" s="1"/>
  <c r="J85" i="23" s="1"/>
  <c r="J99" i="23" s="1"/>
  <c r="G78" i="23"/>
  <c r="O49" i="23"/>
  <c r="V137" i="23"/>
  <c r="I82" i="23"/>
  <c r="I56" i="23"/>
  <c r="I69" i="23" s="1"/>
  <c r="H77" i="23"/>
  <c r="H70" i="23"/>
  <c r="N61" i="23"/>
  <c r="N60" i="23" s="1"/>
  <c r="B49" i="25"/>
  <c r="B98" i="25" s="1"/>
  <c r="B70" i="25"/>
  <c r="B32" i="25"/>
  <c r="AD42" i="5"/>
  <c r="B29" i="25" s="1"/>
  <c r="B22" i="25"/>
  <c r="A15" i="5"/>
  <c r="A12" i="5"/>
  <c r="A9" i="5"/>
  <c r="A5" i="5"/>
  <c r="O108" i="23" l="1"/>
  <c r="O50" i="23" s="1"/>
  <c r="O59" i="23" s="1"/>
  <c r="O80" i="23" s="1"/>
  <c r="P109" i="23"/>
  <c r="N66" i="23"/>
  <c r="N68" i="23" s="1"/>
  <c r="N75" i="23" s="1"/>
  <c r="O48" i="23"/>
  <c r="H71" i="23"/>
  <c r="O76" i="23"/>
  <c r="P67" i="23"/>
  <c r="P74" i="23"/>
  <c r="Q58" i="23"/>
  <c r="P52" i="23"/>
  <c r="P47" i="23"/>
  <c r="I77" i="23"/>
  <c r="I70" i="23"/>
  <c r="J82" i="23"/>
  <c r="J56" i="23"/>
  <c r="J69" i="23" s="1"/>
  <c r="S140" i="23"/>
  <c r="W137" i="23"/>
  <c r="P49" i="23"/>
  <c r="O61" i="23"/>
  <c r="O60" i="23" s="1"/>
  <c r="K53" i="23"/>
  <c r="B30" i="25"/>
  <c r="O66" i="23" l="1"/>
  <c r="O68" i="23" s="1"/>
  <c r="P108" i="23"/>
  <c r="P50" i="23" s="1"/>
  <c r="P59" i="23" s="1"/>
  <c r="P80" i="23" s="1"/>
  <c r="Q109" i="23"/>
  <c r="P48" i="23"/>
  <c r="O75" i="23"/>
  <c r="J77" i="23"/>
  <c r="J70" i="23"/>
  <c r="P61" i="23"/>
  <c r="P60" i="23" s="1"/>
  <c r="I71" i="23"/>
  <c r="I72" i="23" s="1"/>
  <c r="Q67" i="23"/>
  <c r="P76" i="23"/>
  <c r="K55" i="23"/>
  <c r="H78" i="23"/>
  <c r="X137" i="23"/>
  <c r="Q49" i="23"/>
  <c r="T140" i="23"/>
  <c r="S141" i="23"/>
  <c r="K85" i="23" s="1"/>
  <c r="K99" i="23" s="1"/>
  <c r="Q74" i="23"/>
  <c r="R58" i="23"/>
  <c r="Q47" i="23"/>
  <c r="Q52" i="23"/>
  <c r="H72" i="23"/>
  <c r="A14" i="15"/>
  <c r="A11" i="15"/>
  <c r="A8" i="15"/>
  <c r="A4" i="15"/>
  <c r="I30" i="15"/>
  <c r="I24" i="15"/>
  <c r="C23" i="15"/>
  <c r="D23" i="15" s="1"/>
  <c r="E23" i="15" s="1"/>
  <c r="F23" i="15" s="1"/>
  <c r="G23" i="15" s="1"/>
  <c r="H23" i="15" s="1"/>
  <c r="I23" i="15" s="1"/>
  <c r="J23" i="15" s="1"/>
  <c r="K23" i="15" s="1"/>
  <c r="Q108" i="23" l="1"/>
  <c r="Q50" i="23" s="1"/>
  <c r="Q59" i="23" s="1"/>
  <c r="R109" i="23"/>
  <c r="P66" i="23"/>
  <c r="P68" i="23" s="1"/>
  <c r="P75" i="23" s="1"/>
  <c r="Q61" i="23"/>
  <c r="Q60" i="23" s="1"/>
  <c r="Q48" i="23"/>
  <c r="I78" i="23"/>
  <c r="J71" i="23"/>
  <c r="R52" i="23"/>
  <c r="R47" i="23"/>
  <c r="R74" i="23"/>
  <c r="S58" i="23"/>
  <c r="Y137" i="23"/>
  <c r="R49" i="23"/>
  <c r="K82" i="23"/>
  <c r="K56" i="23"/>
  <c r="K69" i="23" s="1"/>
  <c r="R67" i="23"/>
  <c r="Q76" i="23"/>
  <c r="U140" i="23"/>
  <c r="T141" i="23"/>
  <c r="L85" i="23" s="1"/>
  <c r="L99" i="23" s="1"/>
  <c r="L53" i="23"/>
  <c r="Q66" i="23" l="1"/>
  <c r="Q68" i="23" s="1"/>
  <c r="Q75" i="23" s="1"/>
  <c r="Q80" i="23"/>
  <c r="R108" i="23"/>
  <c r="R50" i="23" s="1"/>
  <c r="R59" i="23" s="1"/>
  <c r="R80" i="23" s="1"/>
  <c r="S109" i="23"/>
  <c r="R48" i="23"/>
  <c r="J78" i="23"/>
  <c r="J72" i="23"/>
  <c r="L55" i="23"/>
  <c r="T58" i="23"/>
  <c r="S52" i="23"/>
  <c r="S74" i="23"/>
  <c r="S47" i="23"/>
  <c r="V140" i="23"/>
  <c r="K77" i="23"/>
  <c r="K70" i="23"/>
  <c r="Z137" i="23"/>
  <c r="S49" i="23"/>
  <c r="U141" i="23"/>
  <c r="M85" i="23" s="1"/>
  <c r="M99" i="23" s="1"/>
  <c r="S67" i="23"/>
  <c r="R76" i="23"/>
  <c r="R61" i="23"/>
  <c r="R60" i="23" s="1"/>
  <c r="C48" i="7"/>
  <c r="C49" i="7"/>
  <c r="S108" i="23" l="1"/>
  <c r="S50" i="23" s="1"/>
  <c r="S59" i="23" s="1"/>
  <c r="S80" i="23" s="1"/>
  <c r="T109" i="23"/>
  <c r="R66" i="23"/>
  <c r="R68" i="23" s="1"/>
  <c r="R75" i="23" s="1"/>
  <c r="S48" i="23"/>
  <c r="W140" i="23"/>
  <c r="W141" i="23" s="1"/>
  <c r="O73" i="23" s="1"/>
  <c r="O85" i="23" s="1"/>
  <c r="O99" i="23" s="1"/>
  <c r="S61" i="23"/>
  <c r="S60" i="23" s="1"/>
  <c r="AA137" i="23"/>
  <c r="T49" i="23"/>
  <c r="V141" i="23"/>
  <c r="N73" i="23" s="1"/>
  <c r="N85" i="23" s="1"/>
  <c r="N99" i="23" s="1"/>
  <c r="S76" i="23"/>
  <c r="T67" i="23"/>
  <c r="K71" i="23"/>
  <c r="K78" i="23" s="1"/>
  <c r="L82" i="23"/>
  <c r="L56" i="23"/>
  <c r="L69" i="23" s="1"/>
  <c r="T74" i="23"/>
  <c r="U58" i="23"/>
  <c r="T52" i="23"/>
  <c r="T47" i="23"/>
  <c r="M53" i="23"/>
  <c r="S66" i="23" l="1"/>
  <c r="S68" i="23" s="1"/>
  <c r="S75" i="23" s="1"/>
  <c r="T108" i="23"/>
  <c r="T50" i="23" s="1"/>
  <c r="T59" i="23" s="1"/>
  <c r="T80" i="23" s="1"/>
  <c r="U109" i="23"/>
  <c r="T61" i="23"/>
  <c r="T60" i="23" s="1"/>
  <c r="T48" i="23"/>
  <c r="K72" i="23"/>
  <c r="X140" i="23"/>
  <c r="X141" i="23" s="1"/>
  <c r="P73" i="23" s="1"/>
  <c r="P85" i="23" s="1"/>
  <c r="P99" i="23" s="1"/>
  <c r="T76" i="23"/>
  <c r="U67" i="23"/>
  <c r="U74" i="23"/>
  <c r="V58" i="23"/>
  <c r="U47" i="23"/>
  <c r="U52" i="23"/>
  <c r="AB137" i="23"/>
  <c r="U49" i="23"/>
  <c r="M55" i="23"/>
  <c r="N53" i="23" s="1"/>
  <c r="L77" i="23"/>
  <c r="L70" i="23"/>
  <c r="B106" i="25"/>
  <c r="B80" i="25"/>
  <c r="B76" i="25"/>
  <c r="B102" i="25"/>
  <c r="B72" i="25"/>
  <c r="B67" i="25"/>
  <c r="B46" i="25"/>
  <c r="B95" i="25"/>
  <c r="B92" i="25"/>
  <c r="B84" i="25"/>
  <c r="B42" i="25"/>
  <c r="B88" i="25"/>
  <c r="B24" i="25"/>
  <c r="U61" i="23" l="1"/>
  <c r="U60" i="23" s="1"/>
  <c r="T66" i="23"/>
  <c r="T68" i="23" s="1"/>
  <c r="T75" i="23" s="1"/>
  <c r="U108" i="23"/>
  <c r="U50" i="23" s="1"/>
  <c r="U59" i="23" s="1"/>
  <c r="V109" i="23"/>
  <c r="U48" i="23"/>
  <c r="N55" i="23"/>
  <c r="O53" i="23" s="1"/>
  <c r="AC137" i="23"/>
  <c r="V49" i="23"/>
  <c r="M82" i="23"/>
  <c r="M56" i="23"/>
  <c r="M69" i="23" s="1"/>
  <c r="V67" i="23"/>
  <c r="U76" i="23"/>
  <c r="L71" i="23"/>
  <c r="L78" i="23" s="1"/>
  <c r="Y140" i="23"/>
  <c r="Y141" i="23" s="1"/>
  <c r="Q73" i="23" s="1"/>
  <c r="Q85" i="23" s="1"/>
  <c r="Q99" i="23" s="1"/>
  <c r="V74" i="23"/>
  <c r="W58" i="23"/>
  <c r="V47" i="23"/>
  <c r="V52" i="23"/>
  <c r="A15" i="25"/>
  <c r="U80" i="23" l="1"/>
  <c r="U66" i="23"/>
  <c r="U68" i="23" s="1"/>
  <c r="U75" i="23" s="1"/>
  <c r="V108" i="23"/>
  <c r="V50" i="23" s="1"/>
  <c r="V59" i="23" s="1"/>
  <c r="V80" i="23" s="1"/>
  <c r="W109" i="23"/>
  <c r="V48" i="23"/>
  <c r="L72" i="23"/>
  <c r="M77" i="23"/>
  <c r="M70" i="23"/>
  <c r="AD137" i="23"/>
  <c r="W49" i="23"/>
  <c r="W74" i="23"/>
  <c r="X58" i="23"/>
  <c r="W52" i="23"/>
  <c r="W47" i="23"/>
  <c r="O55" i="23"/>
  <c r="V61" i="23"/>
  <c r="V60" i="23" s="1"/>
  <c r="Z140" i="23"/>
  <c r="W67" i="23"/>
  <c r="V76" i="23"/>
  <c r="N82" i="23"/>
  <c r="N56" i="23"/>
  <c r="N69" i="23" s="1"/>
  <c r="B21" i="25"/>
  <c r="A12" i="25"/>
  <c r="A9" i="25"/>
  <c r="B111" i="25"/>
  <c r="B109" i="25"/>
  <c r="V66" i="23" l="1"/>
  <c r="V68" i="23" s="1"/>
  <c r="V75" i="23" s="1"/>
  <c r="W108" i="23"/>
  <c r="W50" i="23" s="1"/>
  <c r="W59" i="23" s="1"/>
  <c r="W80" i="23" s="1"/>
  <c r="X109" i="23"/>
  <c r="W48" i="23"/>
  <c r="W61" i="23"/>
  <c r="W60" i="23" s="1"/>
  <c r="O82" i="23"/>
  <c r="O56" i="23"/>
  <c r="O69" i="23" s="1"/>
  <c r="M71" i="23"/>
  <c r="M78" i="23" s="1"/>
  <c r="W76" i="23"/>
  <c r="X67" i="23"/>
  <c r="AA140" i="23"/>
  <c r="AE137" i="23"/>
  <c r="X49" i="23"/>
  <c r="Z141" i="23"/>
  <c r="R73" i="23" s="1"/>
  <c r="R85" i="23" s="1"/>
  <c r="R99" i="23" s="1"/>
  <c r="X74" i="23"/>
  <c r="Y58" i="23"/>
  <c r="X52" i="23"/>
  <c r="X47" i="23"/>
  <c r="N77" i="23"/>
  <c r="N70" i="23"/>
  <c r="P53" i="23"/>
  <c r="A14" i="12"/>
  <c r="A15" i="13" s="1"/>
  <c r="E15" i="14" s="1"/>
  <c r="A15" i="6" s="1"/>
  <c r="A14" i="17" s="1"/>
  <c r="A15" i="10" s="1"/>
  <c r="A15" i="24" s="1"/>
  <c r="W66" i="23" l="1"/>
  <c r="W68" i="23" s="1"/>
  <c r="W75" i="23" s="1"/>
  <c r="X108" i="23"/>
  <c r="X50" i="23" s="1"/>
  <c r="X59" i="23" s="1"/>
  <c r="X80" i="23" s="1"/>
  <c r="Y109" i="23"/>
  <c r="X48" i="23"/>
  <c r="M72" i="23"/>
  <c r="X61" i="23"/>
  <c r="X60" i="23" s="1"/>
  <c r="O77" i="23"/>
  <c r="O70" i="23"/>
  <c r="AB140" i="23"/>
  <c r="AB141" i="23" s="1"/>
  <c r="T73" i="23" s="1"/>
  <c r="T85" i="23" s="1"/>
  <c r="T99" i="23" s="1"/>
  <c r="P55" i="23"/>
  <c r="Q53" i="23" s="1"/>
  <c r="N71" i="23"/>
  <c r="N78" i="23" s="1"/>
  <c r="AF137" i="23"/>
  <c r="Y49" i="23"/>
  <c r="AA141" i="23"/>
  <c r="S73" i="23" s="1"/>
  <c r="S85" i="23" s="1"/>
  <c r="S99" i="23" s="1"/>
  <c r="Y74" i="23"/>
  <c r="Y52" i="23"/>
  <c r="Z58" i="23"/>
  <c r="Y47" i="23"/>
  <c r="Y67" i="23"/>
  <c r="X76" i="23"/>
  <c r="A11" i="12"/>
  <c r="A12" i="13" s="1"/>
  <c r="A8" i="12"/>
  <c r="A9" i="13" s="1"/>
  <c r="E9" i="14" s="1"/>
  <c r="A9" i="6" s="1"/>
  <c r="A8" i="17" s="1"/>
  <c r="A9" i="10" s="1"/>
  <c r="A9" i="24" s="1"/>
  <c r="A4" i="12"/>
  <c r="X66" i="23" l="1"/>
  <c r="X68" i="23" s="1"/>
  <c r="X75" i="23" s="1"/>
  <c r="Y108" i="23"/>
  <c r="Y50" i="23" s="1"/>
  <c r="Y59" i="23" s="1"/>
  <c r="Y80" i="23" s="1"/>
  <c r="Z109" i="23"/>
  <c r="Y48" i="23"/>
  <c r="N72" i="23"/>
  <c r="Z52" i="23"/>
  <c r="Z74" i="23"/>
  <c r="AA58" i="23"/>
  <c r="Z47" i="23"/>
  <c r="Z67" i="23"/>
  <c r="Y76" i="23"/>
  <c r="Q55" i="23"/>
  <c r="R53" i="23" s="1"/>
  <c r="AG137" i="23"/>
  <c r="Z49" i="23"/>
  <c r="P82" i="23"/>
  <c r="P56" i="23"/>
  <c r="P69" i="23" s="1"/>
  <c r="Y61" i="23"/>
  <c r="Y60" i="23" s="1"/>
  <c r="AC140" i="23"/>
  <c r="AC141" i="23" s="1"/>
  <c r="U73" i="23" s="1"/>
  <c r="U85" i="23" s="1"/>
  <c r="U99" i="23" s="1"/>
  <c r="O71" i="23"/>
  <c r="O78" i="23" s="1"/>
  <c r="A5" i="13"/>
  <c r="A5" i="14" s="1"/>
  <c r="A5" i="6" s="1"/>
  <c r="A4" i="17" s="1"/>
  <c r="A5" i="10" s="1"/>
  <c r="A5" i="24" s="1"/>
  <c r="A5" i="25"/>
  <c r="Y66" i="23" l="1"/>
  <c r="Y68" i="23" s="1"/>
  <c r="Y75" i="23" s="1"/>
  <c r="Z108" i="23"/>
  <c r="Z50" i="23" s="1"/>
  <c r="Z59" i="23" s="1"/>
  <c r="Z80" i="23" s="1"/>
  <c r="AA109" i="23"/>
  <c r="Z48" i="23"/>
  <c r="R55" i="23"/>
  <c r="AH137" i="23"/>
  <c r="AA49" i="23"/>
  <c r="AA67" i="23"/>
  <c r="Z76" i="23"/>
  <c r="AB58" i="23"/>
  <c r="AA52" i="23"/>
  <c r="AA47" i="23"/>
  <c r="AA74" i="23"/>
  <c r="P77" i="23"/>
  <c r="P70" i="23"/>
  <c r="O72" i="23"/>
  <c r="AD140" i="23"/>
  <c r="AD141" i="23" s="1"/>
  <c r="V73" i="23" s="1"/>
  <c r="V85" i="23" s="1"/>
  <c r="V99" i="23" s="1"/>
  <c r="Q82" i="23"/>
  <c r="Q56" i="23"/>
  <c r="Q69" i="23" s="1"/>
  <c r="Z61" i="23"/>
  <c r="Z60" i="23" s="1"/>
  <c r="E12" i="14"/>
  <c r="A12" i="6" s="1"/>
  <c r="A11" i="17" s="1"/>
  <c r="A12" i="10" s="1"/>
  <c r="A12" i="24" s="1"/>
  <c r="AA108" i="23" l="1"/>
  <c r="AA50" i="23" s="1"/>
  <c r="AA59" i="23" s="1"/>
  <c r="AA80" i="23" s="1"/>
  <c r="AB109" i="23"/>
  <c r="Z66" i="23"/>
  <c r="Z68" i="23" s="1"/>
  <c r="Z75" i="23" s="1"/>
  <c r="AA61" i="23"/>
  <c r="AA60" i="23" s="1"/>
  <c r="AA48" i="23"/>
  <c r="AI137" i="23"/>
  <c r="AB49" i="23"/>
  <c r="P71" i="23"/>
  <c r="P78" i="23" s="1"/>
  <c r="AA76" i="23"/>
  <c r="AB67" i="23"/>
  <c r="AQ67" i="23"/>
  <c r="AE140" i="23"/>
  <c r="AB74" i="23"/>
  <c r="AC58" i="23"/>
  <c r="AB52" i="23"/>
  <c r="AB47" i="23"/>
  <c r="R82" i="23"/>
  <c r="R56" i="23"/>
  <c r="R69" i="23" s="1"/>
  <c r="Q77" i="23"/>
  <c r="Q70" i="23"/>
  <c r="S5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A66" i="23" l="1"/>
  <c r="AA68" i="23" s="1"/>
  <c r="AA75" i="23" s="1"/>
  <c r="AB108" i="23"/>
  <c r="AB50" i="23" s="1"/>
  <c r="AB59" i="23" s="1"/>
  <c r="AB80" i="23" s="1"/>
  <c r="AC109" i="23"/>
  <c r="AB48" i="23"/>
  <c r="P72" i="23"/>
  <c r="AJ137" i="23"/>
  <c r="AC49" i="23"/>
  <c r="R77" i="23"/>
  <c r="R70" i="23"/>
  <c r="AC74" i="23"/>
  <c r="AC47" i="23"/>
  <c r="AD58" i="23"/>
  <c r="AC52" i="23"/>
  <c r="Q71" i="23"/>
  <c r="Q78" i="23" s="1"/>
  <c r="AB61" i="23"/>
  <c r="AB60" i="23" s="1"/>
  <c r="AF140" i="23"/>
  <c r="AF141" i="23" s="1"/>
  <c r="X73" i="23" s="1"/>
  <c r="X85" i="23" s="1"/>
  <c r="X99" i="23" s="1"/>
  <c r="AB76" i="23"/>
  <c r="AC67" i="23"/>
  <c r="S55" i="23"/>
  <c r="T53" i="23" s="1"/>
  <c r="AE141" i="23"/>
  <c r="W73" i="23" s="1"/>
  <c r="W85" i="23" s="1"/>
  <c r="W99" i="23" s="1"/>
  <c r="AC108" i="23" l="1"/>
  <c r="AC50" i="23" s="1"/>
  <c r="AC59" i="23" s="1"/>
  <c r="AC80" i="23" s="1"/>
  <c r="AD109" i="23"/>
  <c r="AB66" i="23"/>
  <c r="AB68" i="23" s="1"/>
  <c r="AB75" i="23" s="1"/>
  <c r="AC61" i="23"/>
  <c r="AC60" i="23" s="1"/>
  <c r="AC48" i="23"/>
  <c r="T55" i="23"/>
  <c r="Q72" i="23"/>
  <c r="AD74" i="23"/>
  <c r="AE58" i="23"/>
  <c r="AD52" i="23"/>
  <c r="AD47" i="23"/>
  <c r="AG140" i="23"/>
  <c r="AG141" i="23" s="1"/>
  <c r="Y73" i="23" s="1"/>
  <c r="Y85" i="23" s="1"/>
  <c r="Y99" i="23" s="1"/>
  <c r="R71" i="23"/>
  <c r="R78" i="23" s="1"/>
  <c r="S82" i="23"/>
  <c r="S56" i="23"/>
  <c r="S69" i="23" s="1"/>
  <c r="AD67" i="23"/>
  <c r="AC76" i="23"/>
  <c r="AK137" i="23"/>
  <c r="AD49" i="23"/>
  <c r="AC66" i="23" l="1"/>
  <c r="AC68" i="23" s="1"/>
  <c r="AC75" i="23" s="1"/>
  <c r="AD108" i="23"/>
  <c r="AD50" i="23" s="1"/>
  <c r="AD59" i="23" s="1"/>
  <c r="AD80" i="23" s="1"/>
  <c r="AE109" i="23"/>
  <c r="AD48" i="23"/>
  <c r="AD61" i="23"/>
  <c r="AD60" i="23" s="1"/>
  <c r="AE67" i="23"/>
  <c r="AD76" i="23"/>
  <c r="R72" i="23"/>
  <c r="AE74" i="23"/>
  <c r="AF58" i="23"/>
  <c r="AE52" i="23"/>
  <c r="AE47" i="23"/>
  <c r="T56" i="23"/>
  <c r="T69" i="23" s="1"/>
  <c r="T82" i="23"/>
  <c r="AL137" i="23"/>
  <c r="AE49" i="23"/>
  <c r="S77" i="23"/>
  <c r="S70" i="23"/>
  <c r="AH140" i="23"/>
  <c r="AH141" i="23" s="1"/>
  <c r="Z73" i="23" s="1"/>
  <c r="Z85" i="23" s="1"/>
  <c r="Z99" i="23" s="1"/>
  <c r="U53" i="23"/>
  <c r="AD66" i="23" l="1"/>
  <c r="AD68" i="23" s="1"/>
  <c r="AD75" i="23" s="1"/>
  <c r="AE108" i="23"/>
  <c r="AE50" i="23" s="1"/>
  <c r="AE59" i="23" s="1"/>
  <c r="AE80" i="23" s="1"/>
  <c r="AF109" i="23"/>
  <c r="AE48" i="23"/>
  <c r="T77" i="23"/>
  <c r="T70" i="23"/>
  <c r="AE76" i="23"/>
  <c r="AF67" i="23"/>
  <c r="U55" i="23"/>
  <c r="V53" i="23" s="1"/>
  <c r="AM137" i="23"/>
  <c r="AF49" i="23"/>
  <c r="S71" i="23"/>
  <c r="S78" i="23" s="1"/>
  <c r="AF74" i="23"/>
  <c r="AG58" i="23"/>
  <c r="AF52" i="23"/>
  <c r="AF47" i="23"/>
  <c r="AI140" i="23"/>
  <c r="AE61" i="23"/>
  <c r="AE60" i="23" s="1"/>
  <c r="AE66" i="23" l="1"/>
  <c r="AE68" i="23" s="1"/>
  <c r="AE75" i="23" s="1"/>
  <c r="AF108" i="23"/>
  <c r="AF50" i="23" s="1"/>
  <c r="AF59" i="23" s="1"/>
  <c r="AG109" i="23"/>
  <c r="AF61" i="23"/>
  <c r="AF60" i="23" s="1"/>
  <c r="AF48" i="23"/>
  <c r="S72" i="23"/>
  <c r="V55" i="23"/>
  <c r="W53" i="23" s="1"/>
  <c r="T71" i="23"/>
  <c r="T78" i="23" s="1"/>
  <c r="AN137" i="23"/>
  <c r="AG49" i="23"/>
  <c r="AJ140" i="23"/>
  <c r="AJ141" i="23" s="1"/>
  <c r="AB73" i="23" s="1"/>
  <c r="AB85" i="23" s="1"/>
  <c r="AB99" i="23" s="1"/>
  <c r="U82" i="23"/>
  <c r="U56" i="23"/>
  <c r="U69" i="23" s="1"/>
  <c r="AI141" i="23"/>
  <c r="AA73" i="23" s="1"/>
  <c r="AA85" i="23" s="1"/>
  <c r="AA99" i="23" s="1"/>
  <c r="AG74" i="23"/>
  <c r="AH58" i="23"/>
  <c r="AG52" i="23"/>
  <c r="AG47" i="23"/>
  <c r="AG61" i="23" s="1"/>
  <c r="AG60" i="23" s="1"/>
  <c r="AG67" i="23"/>
  <c r="AF76" i="23"/>
  <c r="AR67" i="23"/>
  <c r="AF80" i="23" l="1"/>
  <c r="AF66" i="23"/>
  <c r="AF68" i="23" s="1"/>
  <c r="AF75" i="23" s="1"/>
  <c r="AG108" i="23"/>
  <c r="AG50" i="23" s="1"/>
  <c r="AG59" i="23" s="1"/>
  <c r="AH109" i="23"/>
  <c r="AG48" i="23"/>
  <c r="T72" i="23"/>
  <c r="W55" i="23"/>
  <c r="AO137" i="23"/>
  <c r="AH49" i="23"/>
  <c r="AH67" i="23"/>
  <c r="AG76" i="23"/>
  <c r="AK140" i="23"/>
  <c r="AH52" i="23"/>
  <c r="AH47" i="23"/>
  <c r="AH74" i="23"/>
  <c r="AI58" i="23"/>
  <c r="U77" i="23"/>
  <c r="U70" i="23"/>
  <c r="V82" i="23"/>
  <c r="V56" i="23"/>
  <c r="V69" i="23" s="1"/>
  <c r="AG66" i="23" l="1"/>
  <c r="AG68" i="23" s="1"/>
  <c r="AG75" i="23" s="1"/>
  <c r="AG80" i="23"/>
  <c r="AH108" i="23"/>
  <c r="AH50" i="23" s="1"/>
  <c r="AH59" i="23" s="1"/>
  <c r="AH80" i="23" s="1"/>
  <c r="AI109" i="23"/>
  <c r="AH48" i="23"/>
  <c r="V77" i="23"/>
  <c r="V70" i="23"/>
  <c r="AJ58" i="23"/>
  <c r="AI52" i="23"/>
  <c r="AI74" i="23"/>
  <c r="AI47" i="23"/>
  <c r="AL140" i="23"/>
  <c r="AL141" i="23" s="1"/>
  <c r="AD73" i="23" s="1"/>
  <c r="AD85" i="23" s="1"/>
  <c r="AD99" i="23" s="1"/>
  <c r="U71" i="23"/>
  <c r="U78" i="23" s="1"/>
  <c r="AH61" i="23"/>
  <c r="AH60" i="23" s="1"/>
  <c r="AI67" i="23"/>
  <c r="AH76" i="23"/>
  <c r="AP137" i="23"/>
  <c r="AI49" i="23"/>
  <c r="W82" i="23"/>
  <c r="W56" i="23"/>
  <c r="W69" i="23" s="1"/>
  <c r="AK141" i="23"/>
  <c r="AC73" i="23" s="1"/>
  <c r="AC85" i="23" s="1"/>
  <c r="AC99" i="23" s="1"/>
  <c r="X53" i="23"/>
  <c r="AI108" i="23" l="1"/>
  <c r="AI50" i="23" s="1"/>
  <c r="AI59" i="23" s="1"/>
  <c r="AI80" i="23" s="1"/>
  <c r="AJ109" i="23"/>
  <c r="AH66" i="23"/>
  <c r="AH68" i="23" s="1"/>
  <c r="AH75" i="23" s="1"/>
  <c r="AI48" i="23"/>
  <c r="U72" i="23"/>
  <c r="AJ74" i="23"/>
  <c r="AK58" i="23"/>
  <c r="AJ52" i="23"/>
  <c r="AJ47" i="23"/>
  <c r="AI76" i="23"/>
  <c r="AJ67" i="23"/>
  <c r="AM140" i="23"/>
  <c r="AQ137" i="23"/>
  <c r="AJ49" i="23"/>
  <c r="AI61" i="23"/>
  <c r="AI60" i="23" s="1"/>
  <c r="V71" i="23"/>
  <c r="V78" i="23" s="1"/>
  <c r="X55" i="23"/>
  <c r="Y53" i="23" s="1"/>
  <c r="W77" i="23"/>
  <c r="W70" i="23"/>
  <c r="AI66" i="23" l="1"/>
  <c r="AI68" i="23" s="1"/>
  <c r="AI75" i="23" s="1"/>
  <c r="AJ108" i="23"/>
  <c r="AJ50" i="23" s="1"/>
  <c r="AJ59" i="23" s="1"/>
  <c r="AJ80" i="23" s="1"/>
  <c r="AK109" i="23"/>
  <c r="AJ48" i="23"/>
  <c r="V72" i="23"/>
  <c r="AJ76" i="23"/>
  <c r="AK67" i="23"/>
  <c r="AK74" i="23"/>
  <c r="AK52" i="23"/>
  <c r="AK47" i="23"/>
  <c r="AL58" i="23"/>
  <c r="W71" i="23"/>
  <c r="W78" i="23" s="1"/>
  <c r="Y55" i="23"/>
  <c r="AR137" i="23"/>
  <c r="AK49" i="23"/>
  <c r="AN140" i="23"/>
  <c r="X82" i="23"/>
  <c r="X56" i="23"/>
  <c r="X69" i="23" s="1"/>
  <c r="AM141" i="23"/>
  <c r="AE73" i="23" s="1"/>
  <c r="AE85" i="23" s="1"/>
  <c r="AE99" i="23" s="1"/>
  <c r="AJ61" i="23"/>
  <c r="AJ60" i="23" s="1"/>
  <c r="AJ66" i="23" l="1"/>
  <c r="AJ68" i="23" s="1"/>
  <c r="AK108" i="23"/>
  <c r="AK50" i="23" s="1"/>
  <c r="AK59" i="23" s="1"/>
  <c r="AK80" i="23" s="1"/>
  <c r="AL109" i="23"/>
  <c r="AK48" i="23"/>
  <c r="AJ75" i="23"/>
  <c r="X77" i="23"/>
  <c r="X70" i="23"/>
  <c r="AO140" i="23"/>
  <c r="AO141" i="23" s="1"/>
  <c r="AG73" i="23" s="1"/>
  <c r="AG85" i="23" s="1"/>
  <c r="AG99" i="23" s="1"/>
  <c r="Y82" i="23"/>
  <c r="Y56" i="23"/>
  <c r="Y69" i="23" s="1"/>
  <c r="AL74" i="23"/>
  <c r="AM58" i="23"/>
  <c r="AL47" i="23"/>
  <c r="AL52" i="23"/>
  <c r="AL67" i="23"/>
  <c r="AK76" i="23"/>
  <c r="AK61" i="23"/>
  <c r="AK60" i="23" s="1"/>
  <c r="AS137" i="23"/>
  <c r="AL49" i="23"/>
  <c r="AN141" i="23"/>
  <c r="AF73" i="23" s="1"/>
  <c r="AF85" i="23" s="1"/>
  <c r="AF99" i="23" s="1"/>
  <c r="Z53" i="23"/>
  <c r="W72" i="23"/>
  <c r="AK66" i="23" l="1"/>
  <c r="AK68" i="23" s="1"/>
  <c r="AK75" i="23" s="1"/>
  <c r="AL108" i="23"/>
  <c r="AL50" i="23" s="1"/>
  <c r="AL59" i="23" s="1"/>
  <c r="AL80" i="23" s="1"/>
  <c r="AM109" i="23"/>
  <c r="AL48" i="23"/>
  <c r="AT137" i="23"/>
  <c r="AM49" i="23"/>
  <c r="Y77" i="23"/>
  <c r="Y70" i="23"/>
  <c r="X71" i="23"/>
  <c r="X78" i="23" s="1"/>
  <c r="AM74" i="23"/>
  <c r="AN58" i="23"/>
  <c r="AM52" i="23"/>
  <c r="AM47" i="23"/>
  <c r="AM67" i="23"/>
  <c r="AL76" i="23"/>
  <c r="AP140" i="23"/>
  <c r="AP141" i="23" s="1"/>
  <c r="AH73" i="23" s="1"/>
  <c r="AH85" i="23" s="1"/>
  <c r="AH99" i="23" s="1"/>
  <c r="Z55" i="23"/>
  <c r="AL61" i="23"/>
  <c r="AL60" i="23" s="1"/>
  <c r="AL66" i="23" l="1"/>
  <c r="AL68" i="23" s="1"/>
  <c r="AL75" i="23" s="1"/>
  <c r="AM108" i="23"/>
  <c r="AM50" i="23" s="1"/>
  <c r="AM59" i="23" s="1"/>
  <c r="AN109" i="23"/>
  <c r="AM61" i="23"/>
  <c r="AM60" i="23" s="1"/>
  <c r="AM48" i="23"/>
  <c r="X72" i="23"/>
  <c r="Z82" i="23"/>
  <c r="Z56" i="23"/>
  <c r="Z69" i="23" s="1"/>
  <c r="AN74" i="23"/>
  <c r="AO58" i="23"/>
  <c r="AN52" i="23"/>
  <c r="AN47" i="23"/>
  <c r="Y71" i="23"/>
  <c r="Y78" i="23" s="1"/>
  <c r="AQ140" i="23"/>
  <c r="AM76" i="23"/>
  <c r="AN67" i="23"/>
  <c r="AA53" i="23"/>
  <c r="AU137" i="23"/>
  <c r="AN49" i="23"/>
  <c r="AM80" i="23" l="1"/>
  <c r="AM66" i="23"/>
  <c r="AM68" i="23" s="1"/>
  <c r="AM75" i="23" s="1"/>
  <c r="AN108" i="23"/>
  <c r="AN50" i="23" s="1"/>
  <c r="AN59" i="23" s="1"/>
  <c r="AN80" i="23" s="1"/>
  <c r="AO109" i="23"/>
  <c r="AN48" i="23"/>
  <c r="AN61" i="23"/>
  <c r="AN60" i="23" s="1"/>
  <c r="Y72" i="23"/>
  <c r="Z77" i="23"/>
  <c r="Z70" i="23"/>
  <c r="AA55" i="23"/>
  <c r="AO67" i="23"/>
  <c r="AN76" i="23"/>
  <c r="AR140" i="23"/>
  <c r="AR141" i="23" s="1"/>
  <c r="AJ73" i="23" s="1"/>
  <c r="AJ85" i="23" s="1"/>
  <c r="AJ99" i="23" s="1"/>
  <c r="AQ141" i="23"/>
  <c r="AI73" i="23" s="1"/>
  <c r="AI85" i="23" s="1"/>
  <c r="AI99" i="23" s="1"/>
  <c r="AO74" i="23"/>
  <c r="AO52" i="23"/>
  <c r="AP58" i="23"/>
  <c r="AO47" i="23"/>
  <c r="AV137" i="23"/>
  <c r="AO49" i="23"/>
  <c r="AN66" i="23" l="1"/>
  <c r="AN68" i="23" s="1"/>
  <c r="AN75" i="23" s="1"/>
  <c r="AO61" i="23"/>
  <c r="AO60" i="23" s="1"/>
  <c r="AO108" i="23"/>
  <c r="AO50" i="23" s="1"/>
  <c r="AO59" i="23" s="1"/>
  <c r="AP109" i="23"/>
  <c r="AP108" i="23" s="1"/>
  <c r="AO48" i="23"/>
  <c r="AA82" i="23"/>
  <c r="AA56" i="23"/>
  <c r="AA69" i="23" s="1"/>
  <c r="AS140" i="23"/>
  <c r="AS141" i="23" s="1"/>
  <c r="AK73" i="23" s="1"/>
  <c r="AK85" i="23" s="1"/>
  <c r="AK99" i="23" s="1"/>
  <c r="AB53" i="23"/>
  <c r="Z71" i="23"/>
  <c r="Z78" i="23" s="1"/>
  <c r="AP52" i="23"/>
  <c r="AP47" i="23"/>
  <c r="AP74" i="23"/>
  <c r="AW137" i="23"/>
  <c r="AX137" i="23" s="1"/>
  <c r="AP49" i="23"/>
  <c r="AP67" i="23"/>
  <c r="AO76" i="23"/>
  <c r="AO80" i="23" l="1"/>
  <c r="AO66" i="23"/>
  <c r="AO68" i="23" s="1"/>
  <c r="AO75" i="23" s="1"/>
  <c r="AP50" i="23"/>
  <c r="AP59" i="23" s="1"/>
  <c r="AP80" i="23" s="1"/>
  <c r="AP61" i="23"/>
  <c r="AP60" i="23" s="1"/>
  <c r="AY137" i="23"/>
  <c r="AP48" i="23"/>
  <c r="Z72" i="23"/>
  <c r="AB55" i="23"/>
  <c r="AT140" i="23"/>
  <c r="AT141" i="23" s="1"/>
  <c r="AL73" i="23" s="1"/>
  <c r="AL85" i="23" s="1"/>
  <c r="AL99" i="23" s="1"/>
  <c r="AA77" i="23"/>
  <c r="AA70" i="23"/>
  <c r="AP76" i="23"/>
  <c r="AS67" i="23"/>
  <c r="AP66" i="23" l="1"/>
  <c r="AP68" i="23" s="1"/>
  <c r="AP75" i="23" s="1"/>
  <c r="AA71" i="23"/>
  <c r="AA78" i="23" s="1"/>
  <c r="AB82" i="23"/>
  <c r="AB56" i="23"/>
  <c r="AB69" i="23" s="1"/>
  <c r="AU140" i="23"/>
  <c r="AC53" i="23"/>
  <c r="AC55" i="23" l="1"/>
  <c r="AD53" i="23" s="1"/>
  <c r="AV140" i="23"/>
  <c r="AV141" i="23" s="1"/>
  <c r="AN73" i="23" s="1"/>
  <c r="AN85" i="23" s="1"/>
  <c r="AN99" i="23" s="1"/>
  <c r="AB77" i="23"/>
  <c r="AB70" i="23"/>
  <c r="AU141" i="23"/>
  <c r="AM73" i="23" s="1"/>
  <c r="AM85" i="23" s="1"/>
  <c r="AM99" i="23" s="1"/>
  <c r="AA72" i="23"/>
  <c r="AD55" i="23" l="1"/>
  <c r="AE53" i="23" s="1"/>
  <c r="AW140" i="23"/>
  <c r="AW141" i="23" s="1"/>
  <c r="AO73" i="23" s="1"/>
  <c r="AO85" i="23" s="1"/>
  <c r="AO99" i="23" s="1"/>
  <c r="AB71" i="23"/>
  <c r="AB78" i="23" s="1"/>
  <c r="AC82" i="23"/>
  <c r="AC56" i="23"/>
  <c r="AC69" i="23" s="1"/>
  <c r="AE55" i="23" l="1"/>
  <c r="AF53" i="23" s="1"/>
  <c r="AX140" i="23"/>
  <c r="AC77" i="23"/>
  <c r="AC70" i="23"/>
  <c r="AB72" i="23"/>
  <c r="AD82" i="23"/>
  <c r="AD56" i="23"/>
  <c r="AD69" i="23" s="1"/>
  <c r="AD77" i="23" l="1"/>
  <c r="AD70" i="23"/>
  <c r="AF55" i="23"/>
  <c r="AG53" i="23" s="1"/>
  <c r="AY140" i="23"/>
  <c r="AY141" i="23" s="1"/>
  <c r="AX141" i="23"/>
  <c r="AP73" i="23" s="1"/>
  <c r="AP85" i="23" s="1"/>
  <c r="AP99" i="23" s="1"/>
  <c r="AQ99" i="23" s="1"/>
  <c r="A100" i="23" s="1"/>
  <c r="AC71" i="23"/>
  <c r="AC78" i="23" s="1"/>
  <c r="AE82" i="23"/>
  <c r="AE56" i="23"/>
  <c r="AE69" i="23" s="1"/>
  <c r="AE77" i="23" l="1"/>
  <c r="AE70" i="23"/>
  <c r="AG55" i="23"/>
  <c r="AH53" i="23" s="1"/>
  <c r="AF82" i="23"/>
  <c r="AF56" i="23"/>
  <c r="AF69" i="23" s="1"/>
  <c r="AC72" i="23"/>
  <c r="AD71" i="23"/>
  <c r="AD78" i="23" s="1"/>
  <c r="AD72" i="23" l="1"/>
  <c r="AH55" i="23"/>
  <c r="AI53" i="23" s="1"/>
  <c r="AG82" i="23"/>
  <c r="AG56" i="23"/>
  <c r="AG69" i="23" s="1"/>
  <c r="AF77" i="23"/>
  <c r="AF70" i="23"/>
  <c r="AE71" i="23"/>
  <c r="AE78" i="23" s="1"/>
  <c r="AE72" i="23" l="1"/>
  <c r="AF71" i="23"/>
  <c r="AF78" i="23" s="1"/>
  <c r="AI55" i="23"/>
  <c r="AH82" i="23"/>
  <c r="AH56" i="23"/>
  <c r="AH69" i="23" s="1"/>
  <c r="AG77" i="23"/>
  <c r="AG70" i="23"/>
  <c r="AG71" i="23" l="1"/>
  <c r="AG78" i="23" s="1"/>
  <c r="AI82" i="23"/>
  <c r="AI56" i="23"/>
  <c r="AI69" i="23" s="1"/>
  <c r="AH77" i="23"/>
  <c r="AH70" i="23"/>
  <c r="AJ53" i="23"/>
  <c r="AF72" i="23"/>
  <c r="AI77" i="23" l="1"/>
  <c r="AI70" i="23"/>
  <c r="AJ55" i="23"/>
  <c r="AH71" i="23"/>
  <c r="AH78" i="23" s="1"/>
  <c r="AG72" i="23"/>
  <c r="AJ56" i="23" l="1"/>
  <c r="AJ69" i="23" s="1"/>
  <c r="AJ82" i="23"/>
  <c r="AK53" i="23"/>
  <c r="AH72" i="23"/>
  <c r="AI71" i="23"/>
  <c r="AI78" i="23" s="1"/>
  <c r="AI72" i="23" l="1"/>
  <c r="AJ77" i="23"/>
  <c r="AJ70" i="23"/>
  <c r="AK55" i="23"/>
  <c r="AL53" i="23" s="1"/>
  <c r="AL55" i="23" l="1"/>
  <c r="AM53" i="23" s="1"/>
  <c r="AK82" i="23"/>
  <c r="AK56" i="23"/>
  <c r="AK69" i="23" s="1"/>
  <c r="AJ71" i="23"/>
  <c r="AJ78" i="23" s="1"/>
  <c r="AM55" i="23" l="1"/>
  <c r="AN53" i="23" s="1"/>
  <c r="AK77" i="23"/>
  <c r="AK70" i="23"/>
  <c r="AJ72" i="23"/>
  <c r="AL82" i="23"/>
  <c r="AL56" i="23"/>
  <c r="AL69" i="23" s="1"/>
  <c r="AK71" i="23" l="1"/>
  <c r="AK78" i="23" s="1"/>
  <c r="AL77" i="23"/>
  <c r="AL70" i="23"/>
  <c r="AN55" i="23"/>
  <c r="AO53" i="23" s="1"/>
  <c r="AM82" i="23"/>
  <c r="AM56" i="23"/>
  <c r="AM69" i="23" s="1"/>
  <c r="AK72" i="23" l="1"/>
  <c r="AO55" i="23"/>
  <c r="AL71" i="23"/>
  <c r="AL78" i="23" s="1"/>
  <c r="AN82" i="23"/>
  <c r="AN56" i="23"/>
  <c r="AN69" i="23" s="1"/>
  <c r="AM77" i="23"/>
  <c r="AM70" i="23"/>
  <c r="AL72" i="23" l="1"/>
  <c r="AM71" i="23"/>
  <c r="AM78" i="23" s="1"/>
  <c r="AO82" i="23"/>
  <c r="AO56" i="23"/>
  <c r="AO69" i="23" s="1"/>
  <c r="AN77" i="23"/>
  <c r="AN70" i="23"/>
  <c r="AP53" i="23"/>
  <c r="AP55" i="23" s="1"/>
  <c r="AO77" i="23" l="1"/>
  <c r="AO70" i="23"/>
  <c r="AP82" i="23"/>
  <c r="AP56" i="23"/>
  <c r="AP69" i="23" s="1"/>
  <c r="AN71" i="23"/>
  <c r="AN78" i="23" s="1"/>
  <c r="AM72" i="23"/>
  <c r="AP77" i="23" l="1"/>
  <c r="AP70" i="23"/>
  <c r="AO71" i="23"/>
  <c r="AO78" i="23" s="1"/>
  <c r="AN72" i="23"/>
  <c r="AO72" i="23" l="1"/>
  <c r="AP71" i="23"/>
  <c r="AP78" i="23" s="1"/>
  <c r="AP72" i="23" l="1"/>
  <c r="J83" i="23" l="1"/>
  <c r="J86" i="23" s="1"/>
  <c r="W83" i="23"/>
  <c r="W86" i="23" s="1"/>
  <c r="AA83" i="23"/>
  <c r="AA86" i="23" s="1"/>
  <c r="I83" i="23"/>
  <c r="I86" i="23" s="1"/>
  <c r="Q83" i="23"/>
  <c r="Q86" i="23" s="1"/>
  <c r="E83" i="23"/>
  <c r="E86" i="23" s="1"/>
  <c r="AG83" i="23"/>
  <c r="AG86" i="23" s="1"/>
  <c r="U83" i="23"/>
  <c r="U86" i="23" s="1"/>
  <c r="X83" i="23"/>
  <c r="X86" i="23" s="1"/>
  <c r="AJ83" i="23"/>
  <c r="AJ86" i="23" s="1"/>
  <c r="AD83" i="23"/>
  <c r="AD86" i="23" s="1"/>
  <c r="R83" i="23"/>
  <c r="R86" i="23" s="1"/>
  <c r="N83" i="23"/>
  <c r="N86" i="23" s="1"/>
  <c r="L83" i="23"/>
  <c r="L86" i="23" s="1"/>
  <c r="AI83" i="23"/>
  <c r="AI86" i="23" s="1"/>
  <c r="Y83" i="23"/>
  <c r="Y86" i="23" s="1"/>
  <c r="T83" i="23"/>
  <c r="T86" i="23" s="1"/>
  <c r="AM83" i="23"/>
  <c r="AM86" i="23" s="1"/>
  <c r="AO83" i="23"/>
  <c r="AO86" i="23" s="1"/>
  <c r="AH83" i="23"/>
  <c r="AH86" i="23" s="1"/>
  <c r="AC83" i="23"/>
  <c r="AC86" i="23" s="1"/>
  <c r="O83" i="23"/>
  <c r="O86" i="23" s="1"/>
  <c r="K83" i="23"/>
  <c r="K86" i="23" s="1"/>
  <c r="AE83" i="23"/>
  <c r="AE86" i="23" s="1"/>
  <c r="C83" i="23"/>
  <c r="C86" i="23" s="1"/>
  <c r="M83" i="23"/>
  <c r="M86" i="23" s="1"/>
  <c r="D83" i="23"/>
  <c r="D86" i="23" s="1"/>
  <c r="AL83" i="23"/>
  <c r="AL86" i="23" s="1"/>
  <c r="AF83" i="23"/>
  <c r="AF86" i="23" s="1"/>
  <c r="F83" i="23"/>
  <c r="F86" i="23" s="1"/>
  <c r="AN83" i="23"/>
  <c r="AN86" i="23" s="1"/>
  <c r="G83" i="23"/>
  <c r="G86" i="23" s="1"/>
  <c r="H83" i="23"/>
  <c r="H86" i="23" s="1"/>
  <c r="P83" i="23"/>
  <c r="P86" i="23" s="1"/>
  <c r="V83" i="23"/>
  <c r="V86" i="23" s="1"/>
  <c r="Z83" i="23"/>
  <c r="Z86" i="23" s="1"/>
  <c r="AK83" i="23"/>
  <c r="AK86" i="23" s="1"/>
  <c r="S83" i="23"/>
  <c r="S86" i="23" s="1"/>
  <c r="AB83" i="23"/>
  <c r="AB86" i="23" s="1"/>
  <c r="AP83" i="23"/>
  <c r="AP86" i="23" s="1"/>
  <c r="B83" i="23"/>
  <c r="H88" i="23" l="1"/>
  <c r="B86" i="23"/>
  <c r="E87" i="23" s="1"/>
  <c r="C84" i="23"/>
  <c r="AL84" i="23"/>
  <c r="O84" i="23"/>
  <c r="S84" i="23"/>
  <c r="H84" i="23"/>
  <c r="X84" i="23"/>
  <c r="AC84" i="23"/>
  <c r="P84" i="23"/>
  <c r="AI84" i="23"/>
  <c r="AB84" i="23"/>
  <c r="AP84" i="23"/>
  <c r="AG84" i="23"/>
  <c r="G84" i="23"/>
  <c r="AM84" i="23"/>
  <c r="AM89" i="23" s="1"/>
  <c r="AM88" i="23"/>
  <c r="AO88" i="23"/>
  <c r="I88" i="23"/>
  <c r="C88" i="23"/>
  <c r="Z88" i="23"/>
  <c r="V88" i="23"/>
  <c r="O88" i="23"/>
  <c r="M88" i="23"/>
  <c r="P88" i="23"/>
  <c r="Y88" i="23"/>
  <c r="L87" i="23"/>
  <c r="D84" i="23"/>
  <c r="D89" i="23" s="1"/>
  <c r="Q84" i="23"/>
  <c r="Q87" i="23"/>
  <c r="N87" i="23"/>
  <c r="L88" i="23"/>
  <c r="B105" i="23" s="1"/>
  <c r="AF84" i="23"/>
  <c r="AM87" i="23"/>
  <c r="AE84" i="23"/>
  <c r="J84" i="23"/>
  <c r="J87" i="23"/>
  <c r="I84" i="23"/>
  <c r="R87" i="23"/>
  <c r="AD84" i="23"/>
  <c r="AD89" i="23" s="1"/>
  <c r="AA87" i="23"/>
  <c r="G87" i="23"/>
  <c r="D87" i="23"/>
  <c r="AK84" i="23"/>
  <c r="AA88" i="23"/>
  <c r="N88" i="23"/>
  <c r="T88" i="23"/>
  <c r="Q88" i="23"/>
  <c r="AD88" i="23"/>
  <c r="D88" i="23"/>
  <c r="AI88" i="23"/>
  <c r="AL88" i="23"/>
  <c r="F88" i="23"/>
  <c r="AP88" i="23"/>
  <c r="AO84" i="23"/>
  <c r="AH84" i="23"/>
  <c r="M87" i="23"/>
  <c r="W84" i="23"/>
  <c r="AK87" i="23"/>
  <c r="B87" i="23"/>
  <c r="B90" i="23" s="1"/>
  <c r="AE87" i="23"/>
  <c r="AP87" i="23"/>
  <c r="Y84" i="23"/>
  <c r="C87" i="23"/>
  <c r="C90" i="23" s="1"/>
  <c r="K84" i="23"/>
  <c r="AF87" i="23"/>
  <c r="M84" i="23"/>
  <c r="E84" i="23"/>
  <c r="AN84" i="23"/>
  <c r="O87" i="23"/>
  <c r="AA84" i="23"/>
  <c r="R84" i="23"/>
  <c r="R89" i="23" s="1"/>
  <c r="AC87" i="23"/>
  <c r="X87" i="23"/>
  <c r="F87" i="23"/>
  <c r="F90" i="23" s="1"/>
  <c r="E88" i="23"/>
  <c r="AK88" i="23"/>
  <c r="AF88" i="23"/>
  <c r="X88" i="23"/>
  <c r="AB88" i="23"/>
  <c r="S88" i="23"/>
  <c r="AN88" i="23"/>
  <c r="K88" i="23"/>
  <c r="AJ88" i="23"/>
  <c r="B88" i="23"/>
  <c r="V84" i="23"/>
  <c r="L84" i="23"/>
  <c r="AH87" i="23"/>
  <c r="B84" i="23"/>
  <c r="B89" i="23" s="1"/>
  <c r="T84" i="23"/>
  <c r="F84" i="23"/>
  <c r="W87" i="23"/>
  <c r="AJ87" i="23"/>
  <c r="Y87" i="23"/>
  <c r="Y90" i="23" s="1"/>
  <c r="K87" i="23"/>
  <c r="K90" i="23" s="1"/>
  <c r="AL87" i="23"/>
  <c r="N84" i="23"/>
  <c r="V87" i="23"/>
  <c r="AD87" i="23"/>
  <c r="AB87" i="23"/>
  <c r="AO87" i="23"/>
  <c r="H87" i="23"/>
  <c r="H90" i="23" s="1"/>
  <c r="AJ84" i="23"/>
  <c r="AJ89" i="23" s="1"/>
  <c r="AG87" i="23"/>
  <c r="Z87" i="23"/>
  <c r="Z84" i="23"/>
  <c r="U84" i="23"/>
  <c r="I87" i="23"/>
  <c r="AE88" i="23"/>
  <c r="W88" i="23"/>
  <c r="G88" i="23"/>
  <c r="AG88" i="23"/>
  <c r="AH88" i="23"/>
  <c r="AC88" i="23"/>
  <c r="R88" i="23"/>
  <c r="U88" i="23"/>
  <c r="J88" i="23"/>
  <c r="AH89" i="23" l="1"/>
  <c r="I89" i="23"/>
  <c r="O90" i="23"/>
  <c r="M90" i="23"/>
  <c r="K89" i="23"/>
  <c r="AG90" i="23"/>
  <c r="S87" i="23"/>
  <c r="T90" i="23" s="1"/>
  <c r="Q89" i="23"/>
  <c r="AN89" i="23"/>
  <c r="J89" i="23"/>
  <c r="S90" i="23"/>
  <c r="W90" i="23"/>
  <c r="AN87" i="23"/>
  <c r="AO90" i="23" s="1"/>
  <c r="AF89" i="23"/>
  <c r="P87" i="23"/>
  <c r="Q90" i="23" s="1"/>
  <c r="AL90" i="23"/>
  <c r="Z90" i="23"/>
  <c r="N89" i="23"/>
  <c r="Y89" i="23"/>
  <c r="U87" i="23"/>
  <c r="V90" i="23" s="1"/>
  <c r="V89" i="23"/>
  <c r="T87" i="23"/>
  <c r="AI87" i="23"/>
  <c r="AJ90" i="23" s="1"/>
  <c r="E89" i="23"/>
  <c r="I90" i="23"/>
  <c r="AB90" i="23"/>
  <c r="Z89" i="23"/>
  <c r="T89" i="23"/>
  <c r="AE90" i="23"/>
  <c r="P89" i="23"/>
  <c r="U89" i="23"/>
  <c r="AD90" i="23"/>
  <c r="F89" i="23"/>
  <c r="L89" i="23"/>
  <c r="AA89" i="23"/>
  <c r="M89" i="23"/>
  <c r="AK90" i="23"/>
  <c r="AO89" i="23"/>
  <c r="D90" i="23"/>
  <c r="R90" i="23"/>
  <c r="AE89" i="23"/>
  <c r="AP89" i="23"/>
  <c r="X89" i="23"/>
  <c r="AL89" i="23"/>
  <c r="X90" i="23"/>
  <c r="AF90" i="23"/>
  <c r="AP90" i="23"/>
  <c r="A101" i="23"/>
  <c r="B102" i="23" s="1"/>
  <c r="W89" i="23"/>
  <c r="G90" i="23"/>
  <c r="AM90" i="23"/>
  <c r="N90" i="23"/>
  <c r="L90" i="23"/>
  <c r="G30" i="23"/>
  <c r="A105" i="23" s="1"/>
  <c r="G89" i="23"/>
  <c r="AI89" i="23"/>
  <c r="H89" i="23"/>
  <c r="C89" i="23"/>
  <c r="AC90" i="23"/>
  <c r="AA90" i="23"/>
  <c r="J90" i="23"/>
  <c r="P90" i="23"/>
  <c r="S89" i="23"/>
  <c r="AH90" i="23"/>
  <c r="AK89" i="23"/>
  <c r="AG89" i="23"/>
  <c r="AB89" i="23"/>
  <c r="AC89" i="23"/>
  <c r="O89" i="23"/>
  <c r="E90" i="23"/>
  <c r="AN90" i="23" l="1"/>
  <c r="AI90" i="23"/>
  <c r="U90" i="23"/>
  <c r="G28" i="23"/>
  <c r="C105" i="23" s="1"/>
  <c r="G29" i="23"/>
  <c r="D105" i="23" s="1"/>
</calcChain>
</file>

<file path=xl/sharedStrings.xml><?xml version="1.0" encoding="utf-8"?>
<sst xmlns="http://schemas.openxmlformats.org/spreadsheetml/2006/main" count="1335" uniqueCount="689">
  <si>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</si>
  <si>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</si>
  <si>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</si>
  <si>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</si>
  <si>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</si>
  <si>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</si>
  <si>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</si>
  <si>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</si>
  <si>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</si>
  <si>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</si>
  <si>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</si>
  <si>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</si>
  <si>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</si>
  <si>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</si>
  <si>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</si>
  <si>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</si>
  <si>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</si>
  <si>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</si>
  <si>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</si>
  <si>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</si>
  <si>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</si>
  <si>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</si>
  <si>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</si>
  <si>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</si>
  <si>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</si>
  <si>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</si>
  <si>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</si>
  <si>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</si>
  <si>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</si>
  <si>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</si>
  <si>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</si>
  <si>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</si>
  <si>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</si>
  <si>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</si>
  <si>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</si>
  <si>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</si>
  <si>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</si>
  <si>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</si>
  <si>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</si>
  <si>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</si>
  <si>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</si>
  <si>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</si>
  <si>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</si>
  <si>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</si>
  <si>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</si>
  <si>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</si>
  <si>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</si>
  <si>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</si>
  <si>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</si>
  <si>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</si>
  <si>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</si>
  <si>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</si>
  <si>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</si>
  <si>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</si>
  <si>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</si>
  <si>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</si>
  <si>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</si>
  <si>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</si>
  <si>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</si>
  <si>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</si>
  <si>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</si>
  <si>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</si>
  <si>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</si>
  <si>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</si>
  <si>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</si>
  <si>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</si>
  <si>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</si>
  <si>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</si>
  <si>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</si>
  <si>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</si>
  <si>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</si>
  <si>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</si>
  <si>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</si>
  <si>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</si>
  <si>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</si>
  <si>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</si>
  <si>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</si>
  <si>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</si>
  <si>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</si>
  <si>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</si>
  <si>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</si>
  <si>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</si>
  <si>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</si>
  <si>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</si>
  <si>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</si>
  <si>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</si>
  <si>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</si>
  <si>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</si>
  <si>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</si>
  <si>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</si>
  <si>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</si>
  <si>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</si>
  <si>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</si>
  <si>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</si>
  <si>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</si>
  <si>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</si>
  <si>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</si>
  <si>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</si>
  <si>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</si>
  <si>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</si>
  <si>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</si>
  <si>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</si>
  <si>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</si>
  <si>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</si>
  <si>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</si>
  <si>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</si>
  <si>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</si>
  <si>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</si>
  <si>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</si>
  <si>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</si>
  <si>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</si>
  <si>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</si>
  <si>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</si>
  <si>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</si>
  <si>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</si>
  <si>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</si>
  <si>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</si>
  <si>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</si>
  <si>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</si>
  <si>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</si>
  <si>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</si>
  <si>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</si>
  <si>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</si>
  <si>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</si>
  <si>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</si>
  <si>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</si>
  <si>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</si>
  <si>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</si>
  <si>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</si>
  <si>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</si>
  <si>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</si>
  <si>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</si>
  <si>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</si>
  <si>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</si>
  <si>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</si>
  <si>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</si>
  <si>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</si>
  <si>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</si>
  <si>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</si>
  <si>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</si>
  <si>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</si>
  <si>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</si>
  <si>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</si>
  <si>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</si>
  <si>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</si>
  <si>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</si>
  <si>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</si>
  <si>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</si>
  <si>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</si>
  <si>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</si>
  <si>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</si>
  <si>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</si>
  <si>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</si>
  <si>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</si>
  <si>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</si>
  <si>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</si>
  <si>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</si>
  <si>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</si>
  <si>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</si>
  <si>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</si>
  <si>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</si>
  <si>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</si>
  <si>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</si>
  <si>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</si>
  <si>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</si>
  <si>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</si>
  <si>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</si>
  <si>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</si>
  <si>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</si>
  <si>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</si>
  <si>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</si>
  <si>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</si>
  <si>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</si>
  <si>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</si>
  <si>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</si>
  <si>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</si>
  <si>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</si>
  <si>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</si>
  <si>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</si>
  <si>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</si>
  <si>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</si>
  <si>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</si>
  <si>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</si>
  <si>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</si>
  <si>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</si>
  <si>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</si>
  <si>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</si>
  <si>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</si>
  <si>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</si>
  <si>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</si>
  <si>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</si>
  <si>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</si>
  <si>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</si>
  <si>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</si>
  <si>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</si>
  <si>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</si>
  <si>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</si>
  <si>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</si>
  <si>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</si>
  <si>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</si>
  <si>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</si>
  <si>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</si>
  <si>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</si>
  <si>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</si>
  <si>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</si>
  <si>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</si>
  <si>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</si>
  <si>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</si>
  <si>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</si>
  <si>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</si>
  <si>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</si>
  <si>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</si>
  <si>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</si>
  <si>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</si>
  <si>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</si>
  <si>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</si>
  <si>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</si>
  <si>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</si>
  <si>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</si>
  <si>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</si>
  <si>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</si>
  <si>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</si>
  <si>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</si>
  <si>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</si>
  <si>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</si>
  <si>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</si>
  <si>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</si>
  <si>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</si>
  <si>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</si>
  <si>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</si>
  <si>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</si>
  <si>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</si>
  <si>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</si>
  <si>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</si>
  <si>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</si>
  <si>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</si>
  <si>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</si>
  <si>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</si>
  <si>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</si>
  <si>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</si>
  <si>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</si>
  <si>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</si>
  <si>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</si>
  <si>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</si>
  <si>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</si>
  <si>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</si>
  <si>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</si>
  <si>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</si>
  <si>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</si>
  <si>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</si>
  <si>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</si>
  <si>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</si>
  <si>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</si>
  <si>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</si>
  <si>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</si>
  <si>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</si>
  <si>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</si>
  <si>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</si>
  <si>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</si>
  <si>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</si>
  <si>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</si>
  <si>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</si>
  <si>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</si>
  <si>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</si>
  <si>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</si>
  <si>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</si>
  <si>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</si>
  <si>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</si>
  <si>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</si>
  <si>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</si>
  <si>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</si>
  <si>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</si>
  <si>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</si>
  <si>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</si>
  <si>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</si>
  <si>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</si>
  <si>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</si>
  <si>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</si>
  <si>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</si>
  <si>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</si>
  <si>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</si>
  <si>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</si>
  <si>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</si>
  <si>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</si>
  <si>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</si>
  <si>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</si>
  <si>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</si>
  <si>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</si>
  <si>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</si>
  <si>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</si>
  <si>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</si>
  <si>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</si>
  <si>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</si>
  <si>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</si>
  <si>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</si>
  <si>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</si>
  <si>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</si>
  <si>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</si>
  <si>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</si>
  <si>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</si>
  <si>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</si>
  <si>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</si>
  <si>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</si>
  <si>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</si>
  <si>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</si>
  <si>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</si>
  <si>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</si>
  <si>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</si>
  <si>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</si>
  <si>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</si>
  <si>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</si>
  <si>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</si>
  <si>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</si>
  <si>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</si>
  <si>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</si>
  <si>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</si>
  <si>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</si>
  <si>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</si>
  <si>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</si>
  <si>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</si>
  <si>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</si>
  <si>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</si>
  <si>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</si>
  <si>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</si>
  <si>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</si>
  <si>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</si>
  <si>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</si>
  <si>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</si>
  <si>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</si>
  <si>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</si>
  <si>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</si>
  <si>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</si>
  <si>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</si>
  <si>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</si>
  <si>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</si>
  <si>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</si>
  <si>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</si>
  <si>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</si>
  <si>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</si>
  <si>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</si>
  <si>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</si>
  <si>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</si>
  <si>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</si>
  <si>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</si>
  <si>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</si>
  <si>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</si>
  <si>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</si>
  <si>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</si>
  <si>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</si>
  <si>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</si>
  <si>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</si>
  <si>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</si>
  <si>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</si>
  <si>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</si>
  <si>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</si>
  <si>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</si>
  <si>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</si>
  <si>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</si>
  <si>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</si>
  <si>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</si>
  <si>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</si>
  <si>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</si>
  <si>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</si>
  <si>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</si>
  <si>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</si>
  <si>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</si>
  <si>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</si>
  <si>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</si>
  <si>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</si>
  <si>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</si>
  <si>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</si>
  <si>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</si>
  <si>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</si>
  <si>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</si>
  <si>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</si>
  <si>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</si>
  <si>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</si>
  <si>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</si>
  <si>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</si>
  <si>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</si>
  <si>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</si>
  <si>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</si>
  <si>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</si>
  <si>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</si>
  <si>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</si>
  <si>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</si>
  <si>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</si>
  <si>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</si>
  <si>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</si>
  <si>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</si>
  <si>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</si>
  <si>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</si>
  <si>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</si>
  <si>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</si>
  <si>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</si>
  <si>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</si>
  <si>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</si>
  <si>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</si>
  <si>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</si>
  <si>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</si>
  <si>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</si>
  <si>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</si>
  <si>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</si>
  <si>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</si>
  <si>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</si>
  <si>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</si>
  <si>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</si>
  <si>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</si>
  <si>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</si>
  <si>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</si>
  <si>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</si>
  <si>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</si>
  <si>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</si>
  <si>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</si>
  <si>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</si>
  <si>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</si>
  <si>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</si>
  <si>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</si>
  <si>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</si>
  <si>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</si>
  <si>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</si>
  <si>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</si>
  <si>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</si>
  <si>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</si>
  <si>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</si>
  <si>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</si>
  <si>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</si>
  <si>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</si>
  <si>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</si>
  <si>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</si>
  <si>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</si>
  <si>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</si>
  <si>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</si>
  <si>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</si>
  <si>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</si>
  <si>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</si>
  <si>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</si>
  <si>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</si>
  <si>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</si>
  <si>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</si>
  <si>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</si>
  <si>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</si>
  <si>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</si>
  <si>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</si>
  <si>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</si>
  <si>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</si>
  <si>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</si>
  <si>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</si>
  <si>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</si>
  <si>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</si>
  <si>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</si>
  <si>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</si>
  <si>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</si>
  <si>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</si>
  <si>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</si>
  <si>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</si>
  <si>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</si>
  <si>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</si>
  <si>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</si>
  <si>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</si>
  <si>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</si>
  <si>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</si>
  <si>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</si>
  <si>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</si>
  <si>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</si>
  <si>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</si>
  <si>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</si>
  <si>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</si>
  <si>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</si>
  <si>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</si>
  <si>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</si>
  <si>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</si>
  <si>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</si>
  <si>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</si>
  <si>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</si>
  <si>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</si>
  <si>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</si>
  <si>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</si>
  <si>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</si>
  <si>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</si>
  <si>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</si>
  <si>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</si>
  <si>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</si>
  <si>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</si>
  <si>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</si>
  <si>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</si>
  <si>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</si>
  <si>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</si>
  <si>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</si>
  <si>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</si>
  <si>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</si>
  <si>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</si>
  <si>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</si>
  <si>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</si>
  <si>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</si>
  <si>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</si>
  <si>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</si>
  <si>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</si>
  <si>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</si>
  <si>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</si>
  <si>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</si>
  <si>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</si>
  <si>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</si>
  <si>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</si>
  <si>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</si>
  <si>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</si>
  <si>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</si>
  <si>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</si>
  <si>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</si>
  <si>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</si>
  <si>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</si>
  <si>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</si>
  <si>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</si>
  <si>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</si>
  <si>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</si>
  <si>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</si>
  <si>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</si>
  <si>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</si>
  <si>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</si>
  <si>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</si>
  <si>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</si>
  <si>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</si>
  <si>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</si>
  <si>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</si>
  <si>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</si>
  <si>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</si>
  <si>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</si>
  <si>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</si>
  <si>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</si>
  <si>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</si>
  <si>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</si>
  <si>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</si>
  <si>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</si>
  <si>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</si>
  <si>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</si>
  <si>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</si>
  <si>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</si>
  <si>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</si>
  <si>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</si>
  <si>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</si>
  <si>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</si>
  <si>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</si>
  <si>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</si>
  <si>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</si>
  <si>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</si>
  <si>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</si>
  <si>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</si>
  <si>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</si>
  <si>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</si>
  <si>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</si>
  <si>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</si>
  <si>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</si>
  <si>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</si>
  <si>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</si>
  <si>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</si>
  <si>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</si>
  <si>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</si>
  <si>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</si>
  <si>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</si>
  <si>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</si>
  <si>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</si>
  <si>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</si>
  <si>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</si>
  <si>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</si>
  <si>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</si>
  <si>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</si>
  <si>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</si>
  <si>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</si>
  <si>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</si>
  <si>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</si>
  <si>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</si>
  <si>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</si>
  <si>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</si>
  <si>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</si>
  <si>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</si>
  <si>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</si>
  <si>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</si>
  <si>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</si>
  <si>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</si>
  <si>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</si>
  <si>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</si>
  <si>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</si>
  <si>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</si>
  <si>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</si>
  <si>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</si>
  <si>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</si>
  <si>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</si>
  <si>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</si>
  <si>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</si>
  <si>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ГП</t>
  </si>
  <si>
    <t xml:space="preserve"> - незаконтрактованные затраты</t>
  </si>
  <si>
    <t>АО "Россети Янтарь"</t>
  </si>
  <si>
    <t>ОК</t>
  </si>
  <si>
    <t>0.4 кВ</t>
  </si>
  <si>
    <t>в земле</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</si>
  <si>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</si>
  <si>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N_21-0947</t>
  </si>
  <si>
    <t>Строительство ТП 15/0,4 кВ, 2-х ЛЭП 15 кВ от ЗРУ 15 кВ ПС 110 кВ О-10, ЛЭП 0,4 кВ, организация системы учета электроэнергии в г. Зеленоградске, п. Вишневое</t>
  </si>
  <si>
    <t>Зеленоградский городской округ</t>
  </si>
  <si>
    <t>нет</t>
  </si>
  <si>
    <t>ТП 15/0,4 кВ новая</t>
  </si>
  <si>
    <t>ТМГ-15/0,4 кВ 1000 кВА</t>
  </si>
  <si>
    <t>Т-1, Т-2</t>
  </si>
  <si>
    <t>238530, Калининградская обл, Зеленоградский р-н, Вишневое п</t>
  </si>
  <si>
    <t>Комплекс многоквартирных жилых домов</t>
  </si>
  <si>
    <t>7788/12/20 от 01.02.2021</t>
  </si>
  <si>
    <t>238530, Калининградская обл, Зеленоградск г., Вишневое п.</t>
  </si>
  <si>
    <t>Многоквартирный жилой дом</t>
  </si>
  <si>
    <t>2020/03/22 от 28.03.2022</t>
  </si>
  <si>
    <t>711/01/22 от 21.03.2022</t>
  </si>
  <si>
    <t>П</t>
  </si>
  <si>
    <t>дог+7,76%+3%</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</si>
  <si>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ТП 15/0,4 кВ, 2-х ЛЭП 15 кВ от ЗРУ 15 кВ ПС 110 кВ О-10, ЛЭП 0,4 кВ, организация системы учета электроэнергии в г. Зеленоградске, п. Вишневое» (ТЗ № Z/023290/2022-24)</t>
  </si>
  <si>
    <t>Расчет предельной стоимости лота</t>
  </si>
  <si>
    <t>ООО "ТРАНСЭНЕРГОСНАБ"</t>
  </si>
  <si>
    <t>https://lot-online.ru</t>
  </si>
  <si>
    <t>ООО "ОРИОН"</t>
  </si>
  <si>
    <t>ООО "ЭНЕРГИЯ"</t>
  </si>
  <si>
    <t>ООО "СБ "РЕГИОН"</t>
  </si>
  <si>
    <t>32312296561</t>
  </si>
  <si>
    <t>ООО "ТРАНСЭНЕРГОСНАБ" договор под ключ № 32312296561 от 18.07.2023 (ДС № 1 от 19.09.2023) в ценах 2023 года с НДС, млн. руб.</t>
  </si>
  <si>
    <t>ООО "ТРАНСЭНЕРГОСНАБ" договор под ключ № 32312296561 от 18.07.2023 (ДС № 1 от 19.09.2023)</t>
  </si>
  <si>
    <t>ООО "Энергетика Технологии Инновации Групп" (ЭТИ Групп) договор № 18/2023-П от 06.10.2023 в ценах 2023 года с НДС, млн. руб.</t>
  </si>
  <si>
    <t>МТРиО</t>
  </si>
  <si>
    <t xml:space="preserve">Поставка БКТП 6/10/15/0,4 кВ  </t>
  </si>
  <si>
    <t>ОК ЕП</t>
  </si>
  <si>
    <t>ООО "ЭНЕРГЕТИКА ТЕХНОЛОГИИ ИННОВАЦИИ ГРУПП"</t>
  </si>
  <si>
    <t>ООО "МОНТАЖНИКПЛЮС"</t>
  </si>
  <si>
    <t>ООО "САРАПУЛЬСКИЙ ЭЛЕКТРОМЕХАНИЧЕСКИЙ ЗАВОД"</t>
  </si>
  <si>
    <t>ООО "БАЛТЭНЕРГОМАШ"</t>
  </si>
  <si>
    <t>Дооборудование БКТП</t>
  </si>
  <si>
    <t>ЕП</t>
  </si>
  <si>
    <t>ООО "ЭТИ ГРУПП"</t>
  </si>
  <si>
    <t>неэлектронная</t>
  </si>
  <si>
    <t>Сметная стоимость проекта в ценах  2023 года с НДС, млн. руб.</t>
  </si>
  <si>
    <t>на основании заключенных договоров</t>
  </si>
  <si>
    <t>Акционерное общество "Россети Янтарь" ДЗО  ПАО "Россети"</t>
  </si>
  <si>
    <t xml:space="preserve">факт 2023 года </t>
  </si>
  <si>
    <t xml:space="preserve"> по состоянию на 01.01.2023</t>
  </si>
  <si>
    <t>2024 год</t>
  </si>
  <si>
    <t>2025 год</t>
  </si>
  <si>
    <t>2026 год</t>
  </si>
  <si>
    <t>2027 год</t>
  </si>
  <si>
    <t>2028 год</t>
  </si>
  <si>
    <t>Администрация МО "Зеленограский муниципальный округ Калининградской области" договор № 32-ро от 27.12.2023 в ценах 2023 года без НДС, млн. руб.</t>
  </si>
  <si>
    <t>среднеотпускной тариф на услуги по передаче, руб/тыс.кВтч</t>
  </si>
  <si>
    <t>ООО "Энергетика Технологии Инновации Групп" (ЭТИ Групп) договор № 779 от 27.06.2023 (ДС №1 от 22.09.2023, ДС №2 от 22.04.2024, ДС №3 от 04.06.2024) в ценах 2023 года с НДС, млн. руб.</t>
  </si>
  <si>
    <r>
      <t>Год раскрытия информации:</t>
    </r>
    <r>
      <rPr>
        <b/>
        <u/>
        <sz val="12"/>
        <rFont val="Times New Roman"/>
        <family val="1"/>
        <charset val="204"/>
      </rPr>
      <t xml:space="preserve"> 2025 </t>
    </r>
    <r>
      <rPr>
        <b/>
        <sz val="12"/>
        <rFont val="Times New Roman"/>
        <family val="1"/>
        <charset val="204"/>
      </rPr>
      <t>год</t>
    </r>
  </si>
  <si>
    <t>Администрация МО "Зеленограский муниципальный округ Калининградской области" договор № 182-ро от 24.06.2024 в ценах 2024 года без НДС, млн. руб.</t>
  </si>
  <si>
    <t>2025</t>
  </si>
  <si>
    <t>ПС 110 кВ О-10 Зеленоградск</t>
  </si>
  <si>
    <t>Выключатель - 2 шт.</t>
  </si>
  <si>
    <t>выключатель вакуумный - 2 шт.
 Iн=630 А Iоткл=20кА</t>
  </si>
  <si>
    <t>В Л яч.6, 
В Л яч.18</t>
  </si>
  <si>
    <t>КЛ-15 кВ от I и II секции ЗРУ-15 кВ ПС 110 кВ О-10 Зеленоградск до I и II секции РУ-15кВ КТП нов.</t>
  </si>
  <si>
    <t>1 этап</t>
  </si>
  <si>
    <t>КЛ-0,4 кВ от I и II секции РУ 0,4 кВ КТП нов. до  I и II секции ВРУ(1), ВРУ(2), ВРУ(3), ВРУ(4) 0,4 кВ МКД (ТУ Z-6159/23)</t>
  </si>
  <si>
    <t>КЛ-0,4 кВ от I и II секции РУ 0,4 кВ КТП нов. до  I и II секции ВРУ(1) 0.4 кВ МКД 
№ 1 по ГП</t>
  </si>
  <si>
    <t>2 этап</t>
  </si>
  <si>
    <t>КЛ-0,4 кВ от I и II секции РУ 0,4 кВ КТП нов. до  I и II секции ВРУ(2) 0.4 кВ МКД 
№ 2 по ГП</t>
  </si>
  <si>
    <t xml:space="preserve">КЛ-0,4 кВ от I и II секции РУ 0,4 кВ КТП нов. до  I и II секции СП-1 0,4 кВ нов. </t>
  </si>
  <si>
    <t>3 этап</t>
  </si>
  <si>
    <t>КЛ-0,4 кВ от I и II секции СП-1 0,4 кВ нов. до  I и II секции ВРУ(3) 0,4 кВ МКД 
№ 3 по ГП</t>
  </si>
  <si>
    <t>КЛ-0,4 кВ от I и II секции СП-1 0,4 кВ нов. до  I и II секции ВРУ(4) 0,4 кВ МКД 
№ 4 по ГП</t>
  </si>
  <si>
    <t>КЛ-0,4 кВ от I и II секции СП-1 0,4 кВ нов. до  I и II секции ВРУ(5) 0,4 кВ МКД 
№ 5 по ГП</t>
  </si>
  <si>
    <t xml:space="preserve">КЛ-0,4 кВ от I и II секции РУ 0,4 кВ КТП нов. до  I и II секции СП-2 0,4 кВ нов. </t>
  </si>
  <si>
    <t>ДС № 1 от 03.08.2023; ДС № 2 от 13.06.2024</t>
  </si>
  <si>
    <t>Договор исполнен</t>
  </si>
  <si>
    <t>Кабельные наконечники КЛ-1 кВ (ТП Новая (I секция) - ВРУ(1), ВРУ(2), ВРУ(3), ВРУ(4) 0,4 кВ многоквартирного дома (п.11.1) на I секции ВРУ(1), ВРУ (2), ВРУ(3), ВРУ(4) 0,4 кВ многоквартирного дома (п.11.1) 
Кабельные наконечники КЛ-1 кВ (ТП Новая (II секция) - ВРУ(1), ВРУ(2), ВРУ(3), ВРУ(4) 0,4 кВ многоквартирного дома (п.11.1) на II секции ВРУ(1), ВРУ (2), ВРУ(3), ВРУ(4) 0,4 кВ многоквартирного дома (п.11.1)</t>
  </si>
  <si>
    <t xml:space="preserve">10.1 В центре нагрузок квартала многоквартирных жилых домов, в доступном для эксплуатационно-технического обслуживания персоналом АО ''Россети Янтарь'' ''Приморский РЭС'' месте, построить проходную 2-х секционную трансформаторную подстанцию с трансформаторами 15/0,4 кВ необходимой мощности (тип ТП, оборудования, количество и мощность трансформаторов определить на стадии проектирования). Работы выполнить в соответствии с разработанным проектом.
10.2 Выполнить проектирование и монтаж двух КЛ-15 кВ (ориентировочно 2х1,2 км) от I и II секции ЗРУ-15 кВ ПС 110 кВ О-10 Зеленоградск (п.10.3) до I и II секции РУ 15 кВ ТП новой (п.10.1) с использованием кабеля конструкцией 20 кВ с изоляцией из сшитого полиэтилена расчетного сечения,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10.3 Выполнить доукомплектовку (при необходимости) и наладку по одной линейной резервной ячейке № 6 на I-ой и № 18 на II-ой секциях ЗРУ-15 кВ ПС 110 кВ О-10 Зеленоградск для присоединения двух новых КЛ 15 кВ (п. 10.2).
10.4 После выполнения обязательств заявителя по п. 11.1, п. 11.5 от I и II секции РУ 0,4 кВ ТП новая (п. 10.1) до I и II секции ВРУ (1), ВРУ (2), ВРУ(3), ВРУ(4) 0,4 кВ многоквартирного дома (п.11.1) выполнить проектирование, монтаж необходимого количества взаиморезервируемых КЛ-1 кВ (ориентировочно 4(2х100 м) сечением токопроводящих жил не менее 70 кв. мм, смонтировать концевые муфты. </t>
  </si>
  <si>
    <t>на исполнении</t>
  </si>
  <si>
    <t xml:space="preserve">7.1.Болтовые соединения на ТТ на I секции СП 0,4 кВ (п. 10.3)    
7.2.Болтовые соединения на ТТ на II секции СП 0,4 кВ (п. 10.3)  </t>
  </si>
  <si>
    <t>10.1 В ТП 153-16 установить силовой трансформатор мощностью 400 кВА взамен существующего трансформатора мощностью 250 кВА (объем работ по реконструкции ТП определить техзаданием).
10.2 В ТП 153-20 установить силовой трансформатор мощностью 400 кВА взамен существующего трансформатора мощностью 160 кВА (объем работ по реконструкции ТП определить техзаданием).
10.3 На границе участка заявителя, в доступном для эксплуатационно-технического обслуживания персоналом Филиала АО ''Янтарьэнерго'' ''Западные электрические сети'' месте, установить двухсекционный СП 0,4 кВ наружной установки с возможностью установки в нем приборов учета. 
10.4 От РУ 0,4 кВ ТП 153-16 до I секции СП (п. 10.3) выполнить проектирование, монтаж КЛ 0,4 кВ (ориентировочно 370 м) сечением токопроводящих жил соответствующей пропускной способности, смонтировать концевые муфты. Работы выполнить в соответствии с разработанным проектом.
10.5 От РУ 0,4 кВ ТП 153-20 до II секции СП (п. 10.3) выполнить проектирование, монтаж КЛ 0,4 кВ (ориентировочно 520 м) сечением токопроводящих жил соответствующей пропускной способности, смонтировать концевые муфты. Работы выполнить в соответствии с разработанным проектом.
10.6 В СП 0,4 кВ (I и II секция) по п. 10.3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10.7 На участке ВЛ 15-153 от опоры № 90 до опоры № 95 установить разъединитель.</t>
  </si>
  <si>
    <t>ДС № 1 от 15.08.2023; ДС № 2 от 05.12.2023; ДС № 3 от 01.04.2024; ДС № 4 от 03.06.2024;</t>
  </si>
  <si>
    <t>7.1. Кабельные наконечники КЛ-1 кВ (ТП Новая ((I секция) - ВРУ(1), ВРУ(2), ВРУ(3), ВРУ(4), ВРУ(5) 0,4 кВ многоквартирного дома (п.11.1) на I секции в ВРУ(1), ВРУ(2), ВРУ(3), ВРУ(4), ВРУ(5) 0,4 кВ многоквартирного дома (п.11.1) 
7.2. Кабельные наконечники КЛ-1 кВ (ТП Новая (II секция) - ВРУ(1), ВРУ(2), ВРУ(3), ВРУ(4), ВРУ(5) 0,4 кВ многоквартирного дома (п. 11.1) на II секции в ВРУ(1), ВРУ(2), ВРУ(3), ВРУ(4), ВРУ(5) 0,4 кВ многоквартирного дома (п. 11.1)</t>
  </si>
  <si>
    <t xml:space="preserve">10.1 В центре нагрузок квартала многоквартирных жилых домов, в доступном для эксплуатационно-технического обслуживания персоналом АО ''Россети Янтарь'' ''Приморский РЭС'' месте, построить проходную 2-х секционную трансформаторную подстанцию с трансформаторами 15/0,4 кВ необходимой мощности (тип ТП, оборудования, количество и мощность трансформаторов определить  на стадии проектирования). Работы выполнить в соответствии с разработанным проектом.
10.2 Выполнить проектирование и монтаж двух КЛ-15 кВ (ориентировочно 2х1,2 км) от I и II секции ЗРУ-15 кВ ПС 110 кВ О-10 Зеленоградск (п.10.3) до I и II секции РУ 15 кВ ТП  новой (п.10.1) с использованием кабеля конструкцией 20 кВ с изоляцией из сшитого полиэтилена расчетного сечения, смонтировать концевые и соединительные муфты, выполнить расчет емкостных токов, проверить на термическую стойкость. Работы выполнить в соответствии с разработанным проектом.
10.3 Выполнить доукомплектовку (при необходимости) и наладку по одной линейной резервной ячейке № 6 на I-ой и № 18 на II-ой секциях ЗРУ-15 кВ ПС 110 кВ О-10 Зеленоградск для присоединения двух новых КЛ 15 кВ (п. 10.2).
10.4 После выполнения обязательств заявителя по п. 11.1, п. 11.5:
10.4.1 От I и II секции РУ 0,4 кВ ТП новая (п. 10.1) до I и II секции ВРУ (1) 0,4 кВ многоквартирного жилого дома № 1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10.4.2 От I и II секции РУ 0,4 кВ ТП новая (п. 10.1) до I и II секции ВРУ (2) 0,4 кВ многоквартирного жилого дома № 2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10.4.3 От I и II секции РУ 0,4 кВ ТП новая (п. 10.1) до I и II секции ВРУ (3) 0,4 кВ многоквартирного жилого дома № 3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10.4.4 От I и II секции РУ 0,4 кВ ТП новая (п. 10.1) до I и II секции ВРУ (4) 0,4 кВ многоквартирного жилого дома № 4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10.4.5 От I и II секции РУ 0,4 кВ ТП новая (п. 10.1) до I и II секции ВРУ (5) 0,4 кВ многоквартирного жилого дома № 5 по ГП (п.11.1), расположенного на фасаде МКД, выполнить проектирование, монтаж взаиморезервируемых КЛ-1 кВ (ориентировочно 2х100 м) сечением токопроводящих жил не менее 120 кв. мм, смонтировать концевые муфты. </t>
  </si>
  <si>
    <t>1 этап:
Строительство в центре нагрузок квартала многоквартирных жилых домов, в доступном для эксплуатационно-технического обслуживания персоналом АО "Россети Янтарь" Приморский РЭС месте, проходной двухсекционной трансформаторной подстанции (ТП-новой) 15/0,4 кВ (или установить КТП в бетонном корпусе) с двумя трансформаторами мощностью 2x1000 кВА (схема соединения обмоток Д/Yh-II, тип ТП и оборудования, количество и мощность трансформаторов определить на стадии проектирования). Предусмотреть установку оборудования систем телеконтроля, посредством которого в диспетчерский пункт по каналам GSM должны передаваться данные учёта электроэнергии, а также телеинформация согласно СТО ПАО «Россети» 34.01-6.1-001-2016 «Программно-технические комплексы подстанций 6-10 (20) кВ. Общие технические требования».
Строительство от I и II секции ЗРУ-15 кВ ПС 110 кВ 0-10 Зеленоградск до I и II секции РУ 15 кВ ТП-новой двух ЛЭП 15 кВ проводом СИП-3 сечением токопроводящих жил не менее 120 кв.мм (протяженностью ориентировочно 2x1,2 км, в том числе методом ГНБ 40 м при строительстве КЛ) на опорах СВ-110-5. Для варианта КЛ выполнить расчёт ёмкостных токов замыкания на землю, проверить на термическую стойкость, применить кабель сечением токопроводящих жил не менее 240 кв.мм конструкцией 20 кВ с изоляцией из СПЭ, смонтировать концевые и соединительные муфты, предусмотреть мероприятия по защите кабеля от распространения горения.
Выполнить доукомплектацию и наладку резервных линейных ячеек № 6 на I-ой и № 18 на П-ой секциях ЗРУ-15 кВ ПС 110 кВ 0-10 Зеленоградск для присоединения двух новых ЛЭП-15 кВ новой (тип оборудования, комплектацию согласовать с АО "Россети Янтарь" Западного РЭС).
Строительство (после выполнения обязательств заявителя по п. 11.1, п. 11.5 ТУ Z-6159/23) необходимого количества взаиморезервируемых КЛ 0,4 кВ от I и II секции РУ 0,4 кВ ТП-новой до I и II секции ВРУ (1), ВРУ (2), ВРУ(З), ВРУ (4) многоквартирных домов (ТУ Z-6159/23), линии выполнить кабелем расчетного сечения, (протяжённостью ориентировочно (2x1360 м) с изоляцией из сшитого полиэтилена, смонтировать концевые муфты (трассу, марку и способ прокладки КЛ 0,4 кВ определить проектом).
2 этап:
Строительство (после выполнения обязательств заявителя по п. 11.1, п.11.5 ТУ Z-4394/24 (I этап ТУ Z-4383/24) необходимого количества взаиморезервируемых КЛ 0,4 кВ от I и II секции РУ 0,4 кВ ТП-новой до I и II секции ВРУ (1) 0,4 кВ многоквартирного жилого дома № 1 по ГП, расположенного на фасаде МКД, линии выполнить кабелем расчетного сечения (протяжённостью ориентировочно 2x550 м) с изоляцией из сшитого полиэтилена, смонтировать концевые муфты (трассу, марку и способ прокладки КЛ 0,4 кВ определить проектом). Строительство (после выполнения обязательств заявителя по п. 11.1, п. 11.5 ТУ Z-4402/24 (I этап ТУ Z-4383/24) необходимого количества взаиморезервируемых КЛ 0,4 кВ от I и II секции РУ 0,4 кВ ТП-новой до I и II секции ВРУ (2) 0,4 кВ многоквартирного жилого дома № 2 по ГП, расположенного на фасаде МКД, линии выполнить кабелем расчетного сечения (протяжённостью ориентировочно 2x400 м) с изоляцией из сшитого полиэтилена, смонтировать концевые муфты (трассу, марку и способ прокладки КЛ 0,4 кВ определить проектом).
3 этап:
Возле ТП новой, в доступном для эксплуатационно-технического обслуживания персоналом АО "Россети Янтарь" Приморский РЭС месте, установить двухсекционный СП-1 0,4 кВ наружного исполнения. Строительство двух взаиморезервируемых КЛ 0,4 кВ от I и II секции РУ 0,4 кВ ТП-новой до I и II секции СП-1 0,4 кВ наружного исполнения, линию выполнить кабелем расчетного сечения (протяжённостью около 2x20 м) с изоляцией из сшитого полиэтилена, смонтировать концевые муфты (трассу, марку и способ прокладки КЛ 0,4 кВ определить проектом). Строительство (после выполнения обязательств заявителя по п. 11.1, п. 11.5 ТУ Z-4403/24 (И этап ТУ Z-4383/24)) необходимого количества взаиморезервируемых KJI 0,4 кВ от I и II секции РУ 0,4 кВ СП-1 0,4 кВ наружного исполнения до I и II секции ВРУ (3) 0,4 кВ многоквартирного жилого дома № 3 по ГП, расположенного на фасаде МКД, линии выполнить кабелем расчетного сечения (протяжённостью ориентировочно 2x100 м) с изоляцией из сшитого полиэтилена, смонтировать концевые муфты (трассу, марку и способ прокладки КЛ 0,4 кВ определить проектом). Строительство (после выполнения обязательств заявителя по п. 11.1, п. 11.5 ТУ Z-4404/24 (II этап ТУ Z-4383/24)) необходимого количества взаиморезервируемых КЛ 0,4 кВ от I и II секции РУ 0,4 кВ СП-1 0,4 кВ наружного исполнения до I и II секции ВРУ (4) 0,4 кВ многоквартирного жилого дома № 4 по ГП, расположенного на фасаде МКД, линии выполнить кабелем расчетного	сечения (протяжённостью ориентировочно 2x100 м) с изоляцией из сшитого полиэтилена, смонтировать концевые муфты (трассу, марку и способ прокладки КЛ 0,4 кВ определить проектом). Строительство (после выполнения обязательств заявителя по п. 11.1, п. 11.5 ТУ Z-4383/24) необходимого количества взаиморезервируемых КЛ 0,4 кВ от I и II секции РУ 0,4 кВ СП-1 0,4 кВ наружного исполнения до I и II секции ВРУ (5) 0,4 кВ многоквартирного жилого дома № 5 по ГП, расположенного на фасаде МКД, линии выполнить кабелем расчетного сечения (протяжённостью ориентировочно 2x100 м) с изоляцией из сшитого полиэтилена, смонтировать концевые муфты (трассу, марку и способ прокладки КЛ 0,4 кВ определить проектом).
На границе земельного участка объекта заявителя (ТУ № Z-7788/20), в доступном для эксплуатационно-технического обслуживания персоналом АО "Россети Янтарь" Приморский РЭС месте, установить двухсекционный СП-2 0,4 кВ наружного исполнения. В СП-2 0,4 кВ на I и II секциях смонтировать системы учёта электроэнергии с трансформаторами тока (ТТ) на номинальный ток по расчету. Приборы учёта (ПУ) - СЕ308 S31.543.OAG. SYUVJLFZ GS01 SPDS (или эквивалент РОТЕК PTM-03-D D4H4N31Y01O21IS) с протоколом передачи данных GSM/GPRS (тип, марку ПУ определить при проектировании). Точное место установки, тип СП 0,4 кВ определить проектной документацией.
Строительство двух взаиморезервируемых KJI 0,4 кВ от I и II секции РУ 0,4 кВ ТП-новой до I и II секции СП-2 0,4 кВ наружного исполнения, линию выполнить кабелем расчетного сечения (протяжённостью около 2x60 м) с изоляцией из сшитого полиэтилена, смонтировать концевые муфты (трассу, марку и способ прокладки КЛ 0,4 кВ определить проектом).</t>
  </si>
  <si>
    <t>1 этап - строительство КТП 15/0,4 кВ, КЛ 15 кВ,  доукомплектация и наладка резервных линейных ячеек № 6 на I-ой и № 18 на П-ой секциях ЗРУ-15 кВ ПС 110 кВ 0-10 Зеленоградск для присоединения двух новых ЛЭП-15 кВ вакуумными выключателями, строительство КЛ 0,4 кВ от КТП новой до ВРУ МКД по ТУ Z-6159/23; 
2 этап - строительство КЛ 0,4 кВ от КТП новой до ВРУ МКД №1, 2; 
3 этап - строительство СП 0,4 кВ - 2шт., КЛ 0,4 кВ от КТП новой до СП-1, СП-2 новых, от СП-1 нового до ВРУ МКД №3, 4, 5.</t>
  </si>
  <si>
    <t xml:space="preserve"> по состоянию на 01.01.2025</t>
  </si>
  <si>
    <t>ООО "Атом ДВ" договор поставки трансформаторов № 10 от 28.12.2024 в ценах 2024 года с НДС, млн. руб.</t>
  </si>
  <si>
    <t>ООО "НордГрид" договор №21 от 14.01.2025 в ценах 2025 года с НДС, млн. руб.</t>
  </si>
  <si>
    <t>ООО "Энергетика Технологии Инновации Групп" (ЭТИ Групп) договор № 779 от 27.06.2023 (ДС №1 от 22.09.2023, ДС №2 от 22.04.2024, ДС №3 от 04.06.2024), № 18/2023-П от 06.10.2023; 
ООО "Атом ДВ" договор № 10 от 28.12.2024; 
ООО "НордГрид" договор №21 от 14.01.2025</t>
  </si>
  <si>
    <t>ТП 15/0,4 кВ 2х1000 кВА, выключатель вакуумный 15 кВ - 2шт., СП 0,4 кВ - 2 шт.</t>
  </si>
  <si>
    <t xml:space="preserve">Поставка силовых трансформаторов, типа ТМГ, напряжением 6/10/15/0,4 кВ </t>
  </si>
  <si>
    <t>ЗОУ</t>
  </si>
  <si>
    <t xml:space="preserve"> ООО "АТОМ ДВ"</t>
  </si>
  <si>
    <t>ООО "РОСЭНЕРГОТЕХ"</t>
  </si>
  <si>
    <t>Поставка вакуумных выключателей</t>
  </si>
  <si>
    <t>ООО "Норд Грид"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</si>
</sst>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9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u/>
      <sz val="11"/>
      <color theme="10"/>
      <name val="Calibri"/>
      <family val="2"/>
      <charset val="204"/>
      <scheme val="minor"/>
    </font>
    <font>
      <sz val="11"/>
      <color theme="3" tint="0.39997558519241921"/>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rgb="FFE6B8B7"/>
        <bgColor rgb="FF000000"/>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2">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xf numFmtId="0" fontId="89" fillId="0" borderId="0" applyNumberFormat="0" applyFill="0" applyBorder="0" applyAlignment="0" applyProtection="0"/>
  </cellStyleXfs>
  <cellXfs count="580">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5"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6"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6"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9" fontId="3" fillId="26" borderId="44" xfId="78" applyNumberFormat="1" applyFont="1" applyFill="1" applyBorder="1" applyAlignment="1">
      <alignment horizontal="center" vertical="center" wrapText="1"/>
    </xf>
    <xf numFmtId="0" fontId="3" fillId="26"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 fillId="26" borderId="44" xfId="2" applyFont="1" applyFill="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5"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26" borderId="44" xfId="78" applyNumberFormat="1" applyFont="1" applyFill="1" applyBorder="1" applyAlignment="1">
      <alignment horizontal="center" vertical="center" wrapText="1"/>
    </xf>
    <xf numFmtId="0" fontId="27" fillId="32" borderId="30" xfId="2" applyFont="1" applyFill="1" applyBorder="1" applyAlignment="1">
      <alignment horizontal="justify" vertical="top" wrapText="1"/>
    </xf>
    <xf numFmtId="2" fontId="27" fillId="32"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5"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3" fontId="59" fillId="0" borderId="56" xfId="67" applyNumberFormat="1" applyFont="1" applyFill="1" applyBorder="1" applyAlignment="1">
      <alignment vertical="center"/>
    </xf>
    <xf numFmtId="0" fontId="51" fillId="0" borderId="60" xfId="67" applyFont="1" applyFill="1" applyBorder="1" applyAlignment="1">
      <alignment vertical="center" wrapText="1"/>
    </xf>
    <xf numFmtId="0" fontId="53" fillId="0" borderId="60" xfId="67" applyFont="1" applyFill="1" applyBorder="1" applyAlignment="1">
      <alignment vertical="center" wrapText="1"/>
    </xf>
    <xf numFmtId="9" fontId="59" fillId="0" borderId="61" xfId="67" applyNumberFormat="1" applyFont="1" applyFill="1" applyBorder="1" applyAlignment="1">
      <alignment vertical="center"/>
    </xf>
    <xf numFmtId="0" fontId="53" fillId="0" borderId="62" xfId="67" applyFont="1" applyFill="1" applyBorder="1" applyAlignment="1">
      <alignment vertical="center" wrapText="1"/>
    </xf>
    <xf numFmtId="174" fontId="59" fillId="0" borderId="60" xfId="67" applyNumberFormat="1" applyFont="1" applyFill="1" applyBorder="1" applyAlignment="1">
      <alignment vertical="center"/>
    </xf>
    <xf numFmtId="10" fontId="59" fillId="0" borderId="55" xfId="67" applyNumberFormat="1" applyFont="1" applyFill="1" applyBorder="1" applyAlignment="1">
      <alignment vertical="center"/>
    </xf>
    <xf numFmtId="3" fontId="27" fillId="0" borderId="55" xfId="67" applyNumberFormat="1" applyFont="1" applyFill="1" applyBorder="1" applyAlignment="1">
      <alignment vertical="center"/>
    </xf>
    <xf numFmtId="3" fontId="28" fillId="0" borderId="55" xfId="67" applyNumberFormat="1" applyFont="1" applyFill="1" applyBorder="1" applyAlignment="1">
      <alignment vertical="center"/>
    </xf>
    <xf numFmtId="168" fontId="27" fillId="0" borderId="55" xfId="67" applyNumberFormat="1" applyFont="1" applyFill="1" applyBorder="1" applyAlignment="1">
      <alignment horizontal="center" vertical="center"/>
    </xf>
    <xf numFmtId="169" fontId="28" fillId="0" borderId="55" xfId="67" applyNumberFormat="1" applyFont="1" applyFill="1" applyBorder="1" applyAlignment="1">
      <alignment vertical="center"/>
    </xf>
    <xf numFmtId="170" fontId="28" fillId="0" borderId="55" xfId="67" applyNumberFormat="1" applyFont="1" applyFill="1" applyBorder="1" applyAlignment="1">
      <alignment vertical="center"/>
    </xf>
    <xf numFmtId="172" fontId="84" fillId="0" borderId="55" xfId="67" applyNumberFormat="1" applyFont="1" applyFill="1" applyBorder="1" applyAlignment="1">
      <alignment vertical="center"/>
    </xf>
    <xf numFmtId="0" fontId="87" fillId="28" borderId="55" xfId="62" applyFont="1" applyFill="1" applyBorder="1" applyAlignment="1">
      <alignment horizontal="center" vertical="center" wrapText="1"/>
    </xf>
    <xf numFmtId="172" fontId="66" fillId="28" borderId="55" xfId="62" applyNumberFormat="1" applyFont="1" applyFill="1" applyBorder="1" applyAlignment="1">
      <alignment horizontal="center" vertical="center" wrapText="1"/>
    </xf>
    <xf numFmtId="9" fontId="66" fillId="28" borderId="55" xfId="62" applyNumberFormat="1" applyFont="1" applyFill="1" applyBorder="1" applyAlignment="1">
      <alignment horizontal="center" vertical="center" wrapText="1"/>
    </xf>
    <xf numFmtId="4" fontId="66" fillId="28" borderId="55" xfId="62" applyNumberFormat="1" applyFont="1" applyFill="1" applyBorder="1" applyAlignment="1">
      <alignment horizontal="center" vertical="center" wrapText="1"/>
    </xf>
    <xf numFmtId="0" fontId="30" fillId="0" borderId="55" xfId="62" applyBorder="1" applyAlignment="1">
      <alignment horizontal="center" vertical="center" wrapText="1"/>
    </xf>
    <xf numFmtId="0" fontId="30" fillId="29" borderId="55" xfId="62" applyFill="1" applyBorder="1" applyAlignment="1">
      <alignment horizontal="center" vertical="center"/>
    </xf>
    <xf numFmtId="0" fontId="30" fillId="0" borderId="55" xfId="62" applyBorder="1" applyAlignment="1">
      <alignment horizontal="center" vertical="center"/>
    </xf>
    <xf numFmtId="0" fontId="30" fillId="0" borderId="55" xfId="62" applyBorder="1" applyAlignment="1">
      <alignment horizontal="left" vertical="center" wrapText="1"/>
    </xf>
    <xf numFmtId="4" fontId="30" fillId="0" borderId="55" xfId="62" applyNumberFormat="1" applyBorder="1" applyAlignment="1">
      <alignment horizontal="center" vertical="center"/>
    </xf>
    <xf numFmtId="0" fontId="30" fillId="29"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30" fillId="29" borderId="55" xfId="68" applyFont="1" applyFill="1" applyBorder="1" applyAlignment="1">
      <alignment horizontal="center" vertical="center"/>
    </xf>
    <xf numFmtId="0" fontId="30" fillId="27" borderId="55" xfId="62" applyFill="1" applyBorder="1" applyAlignment="1">
      <alignment horizontal="center" vertical="center" wrapText="1"/>
    </xf>
    <xf numFmtId="0" fontId="30" fillId="0" borderId="55" xfId="62" applyFill="1" applyBorder="1" applyAlignment="1">
      <alignment horizontal="center" vertical="center" wrapText="1"/>
    </xf>
    <xf numFmtId="0" fontId="30" fillId="0" borderId="55" xfId="62" applyBorder="1" applyAlignment="1">
      <alignment wrapText="1"/>
    </xf>
    <xf numFmtId="0" fontId="30" fillId="0" borderId="55" xfId="62" applyBorder="1"/>
    <xf numFmtId="0" fontId="30" fillId="0" borderId="55" xfId="62" applyBorder="1" applyAlignment="1">
      <alignment horizontal="left" wrapText="1"/>
    </xf>
    <xf numFmtId="0" fontId="66" fillId="0" borderId="55" xfId="62" applyFont="1" applyBorder="1" applyAlignment="1">
      <alignment wrapText="1"/>
    </xf>
    <xf numFmtId="4" fontId="66" fillId="27" borderId="55" xfId="62" applyNumberFormat="1" applyFont="1" applyFill="1" applyBorder="1" applyAlignment="1">
      <alignment horizontal="center"/>
    </xf>
    <xf numFmtId="3" fontId="66" fillId="27" borderId="55" xfId="62" applyNumberFormat="1" applyFont="1" applyFill="1" applyBorder="1" applyAlignment="1">
      <alignment horizontal="center"/>
    </xf>
    <xf numFmtId="0" fontId="66" fillId="0" borderId="58" xfId="62" applyFont="1" applyBorder="1" applyAlignment="1">
      <alignment wrapText="1"/>
    </xf>
    <xf numFmtId="3" fontId="66" fillId="0" borderId="58" xfId="62" applyNumberFormat="1" applyFont="1" applyFill="1" applyBorder="1"/>
    <xf numFmtId="4" fontId="66" fillId="0" borderId="55" xfId="62" applyNumberFormat="1" applyFont="1" applyFill="1" applyBorder="1" applyAlignment="1">
      <alignment horizontal="center"/>
    </xf>
    <xf numFmtId="4" fontId="66" fillId="29" borderId="55" xfId="62" applyNumberFormat="1" applyFont="1" applyFill="1" applyBorder="1" applyAlignment="1">
      <alignment horizontal="center"/>
    </xf>
    <xf numFmtId="10" fontId="66" fillId="29" borderId="55" xfId="62" applyNumberFormat="1" applyFont="1" applyFill="1" applyBorder="1" applyAlignment="1">
      <alignment horizontal="center"/>
    </xf>
    <xf numFmtId="0" fontId="53" fillId="0" borderId="58" xfId="67" applyFont="1" applyFill="1" applyBorder="1" applyAlignment="1">
      <alignment vertical="center" wrapText="1"/>
    </xf>
    <xf numFmtId="3" fontId="59" fillId="0" borderId="58" xfId="67" applyNumberFormat="1" applyFont="1" applyFill="1" applyBorder="1" applyAlignment="1">
      <alignment horizontal="center" vertical="center"/>
    </xf>
    <xf numFmtId="0" fontId="66" fillId="0" borderId="55" xfId="62" applyFont="1" applyBorder="1"/>
    <xf numFmtId="0" fontId="66" fillId="31" borderId="55" xfId="62" applyFont="1" applyFill="1" applyBorder="1"/>
    <xf numFmtId="10" fontId="59" fillId="31" borderId="55" xfId="67" applyNumberFormat="1" applyFont="1" applyFill="1" applyBorder="1" applyAlignment="1">
      <alignment vertical="center"/>
    </xf>
    <xf numFmtId="0" fontId="66" fillId="0" borderId="58" xfId="62" applyFont="1" applyFill="1" applyBorder="1"/>
    <xf numFmtId="10" fontId="66" fillId="0" borderId="58" xfId="62" applyNumberFormat="1" applyFont="1" applyFill="1" applyBorder="1"/>
    <xf numFmtId="3" fontId="53" fillId="31" borderId="55" xfId="67" applyNumberFormat="1" applyFont="1" applyFill="1" applyBorder="1" applyAlignment="1">
      <alignment horizontal="right" vertical="center"/>
    </xf>
    <xf numFmtId="167" fontId="59" fillId="31" borderId="55" xfId="67" applyNumberFormat="1" applyFont="1" applyFill="1" applyBorder="1" applyAlignment="1">
      <alignment horizontal="right" vertical="center"/>
    </xf>
    <xf numFmtId="0" fontId="3" fillId="0" borderId="55" xfId="2" applyFont="1" applyFill="1" applyBorder="1" applyAlignment="1">
      <alignment vertical="center" wrapText="1"/>
    </xf>
    <xf numFmtId="4" fontId="31" fillId="0" borderId="41" xfId="49" applyNumberFormat="1" applyFont="1" applyBorder="1" applyAlignment="1">
      <alignment horizontal="center" vertical="center" wrapText="1"/>
    </xf>
    <xf numFmtId="49" fontId="89" fillId="0" borderId="49" xfId="81" applyNumberFormat="1" applyFill="1" applyBorder="1" applyAlignment="1">
      <alignment horizontal="center"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0" fontId="3" fillId="0" borderId="55" xfId="1" applyFont="1" applyBorder="1" applyAlignment="1">
      <alignment horizontal="center" vertical="center" wrapText="1"/>
    </xf>
    <xf numFmtId="0" fontId="3" fillId="0" borderId="57" xfId="1" applyFont="1" applyBorder="1" applyAlignment="1">
      <alignment horizontal="center" vertical="center" wrapText="1"/>
    </xf>
    <xf numFmtId="0" fontId="3" fillId="0" borderId="57" xfId="1" applyFont="1" applyBorder="1" applyAlignment="1">
      <alignment horizontal="left" vertical="center" wrapText="1"/>
    </xf>
    <xf numFmtId="1" fontId="31" fillId="0" borderId="55" xfId="49" applyNumberFormat="1" applyFont="1" applyBorder="1" applyAlignment="1">
      <alignment horizontal="center" vertical="center" wrapText="1"/>
    </xf>
    <xf numFmtId="0" fontId="31" fillId="0" borderId="55" xfId="49" applyFont="1" applyFill="1" applyBorder="1" applyAlignment="1">
      <alignment horizontal="center" vertical="center" wrapText="1"/>
    </xf>
    <xf numFmtId="14" fontId="31" fillId="0" borderId="55" xfId="49" applyNumberFormat="1" applyFont="1" applyFill="1" applyBorder="1" applyAlignment="1">
      <alignment horizontal="center" vertical="center" wrapText="1"/>
    </xf>
    <xf numFmtId="2" fontId="31" fillId="0" borderId="55" xfId="49" applyNumberFormat="1" applyFont="1" applyFill="1" applyBorder="1" applyAlignment="1">
      <alignment horizontal="center" vertical="center" wrapText="1"/>
    </xf>
    <xf numFmtId="0" fontId="31" fillId="0" borderId="55" xfId="49" applyFont="1" applyBorder="1" applyAlignment="1">
      <alignment horizontal="center" vertical="center" wrapText="1"/>
    </xf>
    <xf numFmtId="4" fontId="31" fillId="0" borderId="55" xfId="0" applyNumberFormat="1" applyFont="1" applyFill="1" applyBorder="1" applyAlignment="1">
      <alignment horizontal="center" vertical="center"/>
    </xf>
    <xf numFmtId="0" fontId="31" fillId="0" borderId="55" xfId="49" applyNumberFormat="1" applyFont="1" applyBorder="1" applyAlignment="1">
      <alignment horizontal="center" vertical="center" wrapText="1"/>
    </xf>
    <xf numFmtId="14" fontId="31" fillId="0" borderId="55" xfId="49" applyNumberFormat="1" applyFont="1" applyBorder="1" applyAlignment="1">
      <alignment horizontal="center" vertical="center" wrapText="1"/>
    </xf>
    <xf numFmtId="175" fontId="31" fillId="0" borderId="55" xfId="49" applyNumberFormat="1"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48"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58" fillId="0" borderId="55" xfId="1" applyFont="1" applyBorder="1" applyAlignment="1">
      <alignment horizontal="center" vertical="center" wrapText="1"/>
    </xf>
    <xf numFmtId="0" fontId="53" fillId="0" borderId="55" xfId="1" applyFont="1" applyBorder="1" applyAlignment="1">
      <alignment horizontal="center" vertical="center" wrapText="1"/>
    </xf>
    <xf numFmtId="0" fontId="53" fillId="0" borderId="57" xfId="1" applyFont="1" applyBorder="1" applyAlignment="1">
      <alignment horizontal="center" vertical="center" wrapText="1"/>
    </xf>
    <xf numFmtId="49" fontId="53" fillId="0" borderId="55" xfId="1" applyNumberFormat="1" applyFont="1" applyBorder="1" applyAlignment="1">
      <alignment vertical="center"/>
    </xf>
    <xf numFmtId="49" fontId="53" fillId="0" borderId="57" xfId="1" applyNumberFormat="1" applyFont="1" applyBorder="1" applyAlignment="1">
      <alignment vertical="center"/>
    </xf>
    <xf numFmtId="0" fontId="3" fillId="0" borderId="57" xfId="2" applyFont="1" applyFill="1" applyBorder="1" applyAlignment="1">
      <alignment vertical="center" wrapText="1"/>
    </xf>
    <xf numFmtId="0" fontId="3" fillId="0" borderId="55" xfId="1" applyFont="1" applyBorder="1" applyAlignment="1">
      <alignment vertical="center"/>
    </xf>
    <xf numFmtId="2" fontId="58" fillId="0" borderId="55" xfId="2" applyNumberFormat="1" applyFont="1" applyFill="1" applyBorder="1" applyAlignment="1">
      <alignment horizontal="center" vertical="center" wrapText="1"/>
    </xf>
    <xf numFmtId="0" fontId="3" fillId="0" borderId="48" xfId="2" applyFont="1" applyFill="1" applyBorder="1" applyAlignment="1">
      <alignment horizontal="center" vertical="center" wrapText="1"/>
    </xf>
    <xf numFmtId="0" fontId="29" fillId="0" borderId="55" xfId="2" applyFont="1" applyFill="1" applyBorder="1" applyAlignment="1">
      <alignment horizontal="center" vertical="center" textRotation="90" wrapText="1"/>
    </xf>
    <xf numFmtId="0" fontId="4" fillId="0" borderId="0" xfId="1" applyFont="1" applyAlignment="1">
      <alignment horizontal="center" vertical="center"/>
    </xf>
    <xf numFmtId="0" fontId="66" fillId="33" borderId="55" xfId="62" applyFont="1" applyFill="1" applyBorder="1" applyAlignment="1">
      <alignment wrapText="1"/>
    </xf>
    <xf numFmtId="4" fontId="66" fillId="33" borderId="55" xfId="62" applyNumberFormat="1" applyFont="1" applyFill="1" applyBorder="1" applyAlignment="1">
      <alignment horizontal="center"/>
    </xf>
    <xf numFmtId="167" fontId="90" fillId="0" borderId="0" xfId="67" applyNumberFormat="1" applyFont="1" applyFill="1" applyBorder="1" applyAlignment="1">
      <alignment horizontal="center" vertical="center"/>
    </xf>
    <xf numFmtId="10" fontId="91" fillId="34" borderId="55" xfId="62" applyNumberFormat="1" applyFont="1" applyFill="1" applyBorder="1"/>
    <xf numFmtId="3" fontId="92" fillId="0" borderId="58" xfId="67" applyNumberFormat="1" applyFont="1" applyFill="1" applyBorder="1" applyAlignment="1">
      <alignment horizontal="center" vertical="center"/>
    </xf>
    <xf numFmtId="0" fontId="92" fillId="0" borderId="55" xfId="67" applyFont="1" applyFill="1" applyBorder="1" applyAlignment="1">
      <alignment horizontal="center" vertical="center"/>
    </xf>
    <xf numFmtId="0" fontId="93" fillId="0" borderId="55" xfId="62" applyFont="1" applyFill="1" applyBorder="1" applyAlignment="1">
      <alignment horizontal="center"/>
    </xf>
    <xf numFmtId="0" fontId="91" fillId="34" borderId="55" xfId="62" applyFont="1" applyFill="1" applyBorder="1" applyAlignment="1">
      <alignment horizontal="left" vertical="center" wrapText="1"/>
    </xf>
    <xf numFmtId="0" fontId="91" fillId="34" borderId="55" xfId="62" applyFont="1" applyFill="1" applyBorder="1" applyAlignment="1">
      <alignment horizontal="center" wrapText="1"/>
    </xf>
    <xf numFmtId="2" fontId="3" fillId="0" borderId="0" xfId="2" applyNumberFormat="1" applyFont="1" applyFill="1"/>
    <xf numFmtId="173" fontId="3" fillId="0" borderId="0" xfId="2" applyNumberFormat="1" applyFont="1"/>
    <xf numFmtId="0" fontId="27" fillId="0" borderId="31" xfId="2" applyFont="1" applyFill="1" applyBorder="1" applyAlignment="1">
      <alignment horizontal="left" vertical="top"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32" fillId="0" borderId="0" xfId="1" applyFont="1" applyAlignment="1">
      <alignment horizontal="center" vertical="center"/>
    </xf>
    <xf numFmtId="0" fontId="54" fillId="0" borderId="0" xfId="1" applyFont="1" applyFill="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1" fillId="0" borderId="0" xfId="1" applyFont="1" applyAlignment="1">
      <alignment horizontal="center"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48" xfId="1" applyFont="1" applyBorder="1" applyAlignment="1">
      <alignment horizontal="center" vertical="center" wrapText="1"/>
    </xf>
    <xf numFmtId="0" fontId="32" fillId="0" borderId="2"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51" xfId="62" applyFont="1" applyBorder="1" applyAlignment="1">
      <alignment horizontal="center" vertical="center" wrapText="1"/>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8" fillId="0" borderId="55" xfId="1" applyFont="1" applyBorder="1" applyAlignment="1">
      <alignment horizontal="center" vertical="center" wrapText="1"/>
    </xf>
    <xf numFmtId="0" fontId="58" fillId="0" borderId="57" xfId="1" applyFont="1" applyBorder="1" applyAlignment="1">
      <alignment horizontal="center" vertical="center" wrapText="1"/>
    </xf>
    <xf numFmtId="0" fontId="58" fillId="0" borderId="58" xfId="1" applyFont="1" applyBorder="1" applyAlignment="1">
      <alignment horizontal="center" vertical="center" wrapText="1"/>
    </xf>
    <xf numFmtId="0" fontId="58" fillId="0" borderId="59" xfId="1" applyFont="1" applyBorder="1" applyAlignment="1">
      <alignment horizontal="center" vertical="center" wrapText="1"/>
    </xf>
    <xf numFmtId="0" fontId="40" fillId="0" borderId="0" xfId="67" applyFont="1" applyFill="1" applyAlignment="1">
      <alignment horizontal="left" vertical="center" wrapText="1"/>
    </xf>
    <xf numFmtId="0" fontId="30" fillId="0" borderId="57" xfId="62" applyBorder="1" applyAlignment="1">
      <alignment horizontal="center" vertical="center" wrapText="1"/>
    </xf>
    <xf numFmtId="0" fontId="30" fillId="0" borderId="59"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57" xfId="67" applyFont="1" applyFill="1" applyBorder="1" applyAlignment="1">
      <alignment horizontal="center" vertical="center" wrapText="1"/>
    </xf>
    <xf numFmtId="0" fontId="49" fillId="0" borderId="58" xfId="67" applyFont="1" applyFill="1" applyBorder="1" applyAlignment="1">
      <alignment horizontal="center" vertical="center" wrapText="1"/>
    </xf>
    <xf numFmtId="0" fontId="49" fillId="0" borderId="59" xfId="67" applyFont="1" applyFill="1" applyBorder="1" applyAlignment="1">
      <alignment horizontal="center" vertical="center" wrapText="1"/>
    </xf>
    <xf numFmtId="4" fontId="49" fillId="0" borderId="57" xfId="67" applyNumberFormat="1" applyFont="1" applyFill="1" applyBorder="1" applyAlignment="1">
      <alignment horizontal="center" vertical="center"/>
    </xf>
    <xf numFmtId="4" fontId="49" fillId="0" borderId="59" xfId="67" applyNumberFormat="1" applyFont="1" applyFill="1" applyBorder="1" applyAlignment="1">
      <alignment horizontal="center" vertical="center"/>
    </xf>
    <xf numFmtId="3" fontId="49" fillId="0" borderId="57" xfId="67" applyNumberFormat="1" applyFont="1" applyFill="1" applyBorder="1" applyAlignment="1">
      <alignment horizontal="center" vertical="center"/>
    </xf>
    <xf numFmtId="3" fontId="49" fillId="0" borderId="59" xfId="67" applyNumberFormat="1" applyFont="1" applyFill="1" applyBorder="1" applyAlignment="1">
      <alignment horizontal="center" vertical="center"/>
    </xf>
    <xf numFmtId="0" fontId="49" fillId="0" borderId="57" xfId="67" applyFont="1" applyFill="1" applyBorder="1" applyAlignment="1">
      <alignment horizontal="center" vertical="center"/>
    </xf>
    <xf numFmtId="0" fontId="49" fillId="0" borderId="58" xfId="67" applyFont="1" applyFill="1" applyBorder="1" applyAlignment="1">
      <alignment horizontal="center" vertical="center"/>
    </xf>
    <xf numFmtId="0" fontId="49" fillId="0" borderId="59" xfId="67"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71" fillId="0" borderId="0" xfId="1" applyFont="1" applyAlignment="1">
      <alignment horizontal="center" vertical="center"/>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29" fillId="0" borderId="44" xfId="0" applyFont="1" applyFill="1" applyBorder="1" applyAlignment="1">
      <alignment horizontal="center" vertical="center" wrapText="1" shrinkToFi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55" xfId="2" applyFont="1" applyFill="1" applyBorder="1" applyAlignment="1">
      <alignment horizontal="center" vertical="center" wrapText="1"/>
    </xf>
    <xf numFmtId="0" fontId="29" fillId="0" borderId="57" xfId="52" applyFont="1" applyFill="1" applyBorder="1" applyAlignment="1">
      <alignment horizontal="center" vertical="center"/>
    </xf>
    <xf numFmtId="0" fontId="29" fillId="0" borderId="58" xfId="52" applyFont="1" applyFill="1" applyBorder="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29" fillId="0" borderId="55" xfId="2" applyFont="1" applyBorder="1" applyAlignment="1">
      <alignment horizontal="center" vertical="center"/>
    </xf>
    <xf numFmtId="0" fontId="29" fillId="0" borderId="55" xfId="52" applyFont="1" applyFill="1" applyBorder="1" applyAlignment="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63"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 fillId="0" borderId="0" xfId="62" applyFont="1" applyBorder="1" applyAlignment="1">
      <alignment horizontal="center" vertical="center" wrapText="1"/>
    </xf>
    <xf numFmtId="0" fontId="3" fillId="0" borderId="0" xfId="62" applyFont="1" applyBorder="1" applyAlignment="1">
      <alignment horizontal="center" vertical="center"/>
    </xf>
    <xf numFmtId="0" fontId="3" fillId="0" borderId="55" xfId="62" applyFont="1" applyBorder="1" applyAlignment="1">
      <alignment horizontal="center" vertical="center" wrapText="1"/>
    </xf>
    <xf numFmtId="0" fontId="3" fillId="0" borderId="55" xfId="62" applyFont="1" applyBorder="1" applyAlignment="1">
      <alignment horizontal="center" vertical="center"/>
    </xf>
    <xf numFmtId="0" fontId="53" fillId="0" borderId="48" xfId="62" applyFont="1" applyFill="1" applyBorder="1" applyAlignment="1">
      <alignment horizontal="center" vertical="center"/>
    </xf>
    <xf numFmtId="0" fontId="53" fillId="0" borderId="55" xfId="62" applyFont="1" applyFill="1" applyBorder="1" applyAlignment="1">
      <alignment horizontal="center" vertical="center"/>
    </xf>
    <xf numFmtId="0" fontId="53" fillId="0" borderId="55" xfId="0" applyFont="1" applyBorder="1" applyAlignment="1">
      <alignment horizontal="center" wrapText="1"/>
    </xf>
    <xf numFmtId="0" fontId="53" fillId="0" borderId="55" xfId="62" applyFont="1" applyFill="1" applyBorder="1" applyAlignment="1">
      <alignment horizontal="center" vertical="center" wrapText="1"/>
    </xf>
    <xf numFmtId="2" fontId="3" fillId="0" borderId="0" xfId="62" applyNumberFormat="1" applyFont="1" applyAlignment="1">
      <alignment horizontal="left"/>
    </xf>
    <xf numFmtId="0" fontId="3" fillId="0" borderId="55" xfId="1" applyFont="1" applyBorder="1" applyAlignment="1">
      <alignment horizontal="left" vertical="center" wrapText="1"/>
    </xf>
    <xf numFmtId="0" fontId="31" fillId="0" borderId="55" xfId="1" applyFont="1" applyBorder="1" applyAlignment="1">
      <alignment horizontal="left" vertical="top" wrapText="1"/>
    </xf>
    <xf numFmtId="14" fontId="3" fillId="0" borderId="55" xfId="77" applyNumberFormat="1" applyFont="1" applyFill="1" applyBorder="1" applyAlignment="1">
      <alignment horizontal="center" vertical="center" wrapText="1"/>
    </xf>
    <xf numFmtId="1" fontId="31" fillId="0" borderId="55" xfId="49" applyNumberFormat="1" applyFont="1" applyFill="1" applyBorder="1" applyAlignment="1">
      <alignment horizontal="center" vertical="center" wrapText="1"/>
    </xf>
    <xf numFmtId="49" fontId="31" fillId="0" borderId="55" xfId="0" applyNumberFormat="1" applyFont="1" applyFill="1" applyBorder="1" applyAlignment="1">
      <alignment horizontal="center" vertical="center" wrapText="1"/>
    </xf>
    <xf numFmtId="49" fontId="31" fillId="0" borderId="55" xfId="0" applyNumberFormat="1" applyFont="1" applyFill="1" applyBorder="1" applyAlignment="1">
      <alignment horizontal="center" vertical="center"/>
    </xf>
    <xf numFmtId="14" fontId="31" fillId="0" borderId="55" xfId="0" applyNumberFormat="1" applyFont="1" applyFill="1" applyBorder="1" applyAlignment="1">
      <alignment horizontal="center" vertical="center" wrapText="1"/>
    </xf>
    <xf numFmtId="4" fontId="31" fillId="0" borderId="55" xfId="49" applyNumberFormat="1" applyFont="1" applyBorder="1" applyAlignment="1">
      <alignment horizontal="center" vertical="center" wrapText="1"/>
    </xf>
  </cellXfs>
  <cellStyles count="8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81"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3407827712564953"/>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36295619.501738213</c:v>
                </c:pt>
                <c:pt idx="1">
                  <c:v>-64862.253415745494</c:v>
                </c:pt>
                <c:pt idx="2">
                  <c:v>-29689725.860603165</c:v>
                </c:pt>
                <c:pt idx="3">
                  <c:v>15079541.5227641</c:v>
                </c:pt>
                <c:pt idx="4">
                  <c:v>23418883.300712809</c:v>
                </c:pt>
                <c:pt idx="5">
                  <c:v>21390235.028804179</c:v>
                </c:pt>
                <c:pt idx="6">
                  <c:v>18979490.624547068</c:v>
                </c:pt>
                <c:pt idx="7">
                  <c:v>17690277.955553465</c:v>
                </c:pt>
                <c:pt idx="8">
                  <c:v>16489011.368093586</c:v>
                </c:pt>
                <c:pt idx="9">
                  <c:v>15369651.746158261</c:v>
                </c:pt>
                <c:pt idx="10">
                  <c:v>14326578.865476191</c:v>
                </c:pt>
                <c:pt idx="11">
                  <c:v>13354561.897539675</c:v>
                </c:pt>
              </c:numCache>
            </c:numRef>
          </c:val>
          <c:smooth val="0"/>
          <c:extLst>
            <c:ext xmlns:c16="http://schemas.microsoft.com/office/drawing/2014/chart" uri="{C3380CC4-5D6E-409C-BE32-E72D297353CC}">
              <c16:uniqueId val="{00000000-7A70-4E0B-B2F8-BB462D3AD707}"/>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36295619.501738213</c:v>
                </c:pt>
                <c:pt idx="1">
                  <c:v>36230757.248322465</c:v>
                </c:pt>
                <c:pt idx="2">
                  <c:v>6541031.3877192996</c:v>
                </c:pt>
                <c:pt idx="3">
                  <c:v>21620572.910483398</c:v>
                </c:pt>
                <c:pt idx="4">
                  <c:v>45039456.211196207</c:v>
                </c:pt>
                <c:pt idx="5">
                  <c:v>66429691.240000382</c:v>
                </c:pt>
                <c:pt idx="6">
                  <c:v>85409181.864547446</c:v>
                </c:pt>
                <c:pt idx="7">
                  <c:v>103099459.8201009</c:v>
                </c:pt>
                <c:pt idx="8">
                  <c:v>119588471.18819448</c:v>
                </c:pt>
                <c:pt idx="9">
                  <c:v>134958122.93435276</c:v>
                </c:pt>
                <c:pt idx="10">
                  <c:v>149284701.79982895</c:v>
                </c:pt>
                <c:pt idx="11">
                  <c:v>162639263.69736862</c:v>
                </c:pt>
              </c:numCache>
            </c:numRef>
          </c:val>
          <c:smooth val="0"/>
          <c:extLst>
            <c:ext xmlns:c16="http://schemas.microsoft.com/office/drawing/2014/chart" uri="{C3380CC4-5D6E-409C-BE32-E72D297353CC}">
              <c16:uniqueId val="{00000001-7A70-4E0B-B2F8-BB462D3AD707}"/>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7</xdr:col>
      <xdr:colOff>1012031</xdr:colOff>
      <xdr:row>45</xdr:row>
      <xdr:rowOff>1905</xdr:rowOff>
    </xdr:to>
    <xdr:graphicFrame macro="">
      <xdr:nvGraphicFramePr>
        <xdr:cNvPr id="4" name="Диаграмма 3">
          <a:extLst>
            <a:ext uri="{FF2B5EF4-FFF2-40B4-BE49-F238E27FC236}">
              <a16:creationId xmlns:a16="http://schemas.microsoft.com/office/drawing/2014/main" id="{E101DB8E-6DE7-408C-BDBA-AFD5B75311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31" zoomScale="80" zoomScaleSheetLayoutView="80" workbookViewId="0">
      <selection activeCell="C40" sqref="C40"/>
    </sheetView>
  </sheetViews>
  <sheetFormatPr defaultColWidth="9.140625" defaultRowHeight="15" x14ac:dyDescent="0.25"/>
  <cols>
    <col min="1" max="1" width="6.140625" style="70" customWidth="1"/>
    <col min="2" max="2" width="53.5703125" style="70" customWidth="1"/>
    <col min="3" max="3" width="91.42578125" style="179" customWidth="1"/>
    <col min="4" max="4" width="12" style="70" customWidth="1"/>
    <col min="5" max="5" width="14.42578125" style="70" customWidth="1"/>
    <col min="6" max="6" width="36.5703125" style="70" customWidth="1"/>
    <col min="7" max="7" width="20" style="70" customWidth="1"/>
    <col min="8" max="8" width="25.5703125" style="70" customWidth="1"/>
    <col min="9" max="9" width="16.42578125" style="70" customWidth="1"/>
    <col min="10" max="16384" width="9.140625" style="70"/>
  </cols>
  <sheetData>
    <row r="1" spans="1:22" s="2" customFormat="1" ht="18.75" customHeight="1" x14ac:dyDescent="0.2">
      <c r="C1" s="4" t="s">
        <v>66</v>
      </c>
      <c r="F1" s="71"/>
      <c r="G1" s="71"/>
    </row>
    <row r="2" spans="1:22" s="2" customFormat="1" ht="18.75" customHeight="1" x14ac:dyDescent="0.3">
      <c r="C2" s="1" t="s">
        <v>8</v>
      </c>
      <c r="F2" s="71"/>
      <c r="G2" s="71"/>
    </row>
    <row r="3" spans="1:22" s="2" customFormat="1" ht="18.75" x14ac:dyDescent="0.3">
      <c r="A3" s="72"/>
      <c r="C3" s="1" t="s">
        <v>65</v>
      </c>
      <c r="F3" s="71"/>
      <c r="G3" s="71"/>
    </row>
    <row r="4" spans="1:22" s="2" customFormat="1" ht="18.75" x14ac:dyDescent="0.3">
      <c r="A4" s="72"/>
      <c r="C4" s="172"/>
      <c r="F4" s="71"/>
      <c r="G4" s="71"/>
      <c r="H4" s="1"/>
    </row>
    <row r="5" spans="1:22" s="2" customFormat="1" ht="15.75" x14ac:dyDescent="0.25">
      <c r="A5" s="430" t="s">
        <v>647</v>
      </c>
      <c r="B5" s="430"/>
      <c r="C5" s="430"/>
      <c r="D5" s="48"/>
      <c r="E5" s="48"/>
      <c r="F5" s="48"/>
      <c r="G5" s="48"/>
      <c r="H5" s="48"/>
      <c r="I5" s="48"/>
      <c r="J5" s="48"/>
    </row>
    <row r="6" spans="1:22" s="2" customFormat="1" ht="18.75" x14ac:dyDescent="0.3">
      <c r="A6" s="72"/>
      <c r="C6" s="172"/>
      <c r="F6" s="71"/>
      <c r="G6" s="71"/>
      <c r="H6" s="1"/>
    </row>
    <row r="7" spans="1:22" s="2" customFormat="1" ht="18.75" x14ac:dyDescent="0.2">
      <c r="A7" s="437" t="s">
        <v>7</v>
      </c>
      <c r="B7" s="437"/>
      <c r="C7" s="437"/>
      <c r="D7" s="73"/>
      <c r="E7" s="73"/>
      <c r="F7" s="73"/>
      <c r="G7" s="73"/>
      <c r="H7" s="73"/>
      <c r="I7" s="73"/>
      <c r="J7" s="73"/>
      <c r="K7" s="73"/>
      <c r="L7" s="73"/>
      <c r="M7" s="73"/>
      <c r="N7" s="73"/>
      <c r="O7" s="73"/>
      <c r="P7" s="73"/>
      <c r="Q7" s="73"/>
      <c r="R7" s="73"/>
      <c r="S7" s="73"/>
      <c r="T7" s="73"/>
      <c r="U7" s="73"/>
      <c r="V7" s="73"/>
    </row>
    <row r="8" spans="1:22" s="2" customFormat="1" ht="18.75" x14ac:dyDescent="0.2">
      <c r="A8" s="74"/>
      <c r="B8" s="74"/>
      <c r="C8" s="173"/>
      <c r="D8" s="74"/>
      <c r="E8" s="74"/>
      <c r="F8" s="74"/>
      <c r="G8" s="74"/>
      <c r="H8" s="74"/>
      <c r="I8" s="73"/>
      <c r="J8" s="73"/>
      <c r="K8" s="73"/>
      <c r="L8" s="73"/>
      <c r="M8" s="73"/>
      <c r="N8" s="73"/>
      <c r="O8" s="73"/>
      <c r="P8" s="73"/>
      <c r="Q8" s="73"/>
      <c r="R8" s="73"/>
      <c r="S8" s="73"/>
      <c r="T8" s="73"/>
      <c r="U8" s="73"/>
      <c r="V8" s="73"/>
    </row>
    <row r="9" spans="1:22" s="2" customFormat="1" ht="18.75" x14ac:dyDescent="0.2">
      <c r="A9" s="438" t="s">
        <v>636</v>
      </c>
      <c r="B9" s="438"/>
      <c r="C9" s="438"/>
      <c r="D9" s="75"/>
      <c r="E9" s="75"/>
      <c r="F9" s="75"/>
      <c r="G9" s="75"/>
      <c r="H9" s="75"/>
      <c r="I9" s="73"/>
      <c r="J9" s="73"/>
      <c r="K9" s="73"/>
      <c r="L9" s="73"/>
      <c r="M9" s="73"/>
      <c r="N9" s="73"/>
      <c r="O9" s="73"/>
      <c r="P9" s="73"/>
      <c r="Q9" s="73"/>
      <c r="R9" s="73"/>
      <c r="S9" s="73"/>
      <c r="T9" s="73"/>
      <c r="U9" s="73"/>
      <c r="V9" s="73"/>
    </row>
    <row r="10" spans="1:22" s="2" customFormat="1" ht="18.75" x14ac:dyDescent="0.2">
      <c r="A10" s="434" t="s">
        <v>6</v>
      </c>
      <c r="B10" s="434"/>
      <c r="C10" s="434"/>
      <c r="D10" s="76"/>
      <c r="E10" s="76"/>
      <c r="F10" s="76"/>
      <c r="G10" s="76"/>
      <c r="H10" s="76"/>
      <c r="I10" s="73"/>
      <c r="J10" s="73"/>
      <c r="K10" s="73"/>
      <c r="L10" s="73"/>
      <c r="M10" s="73"/>
      <c r="N10" s="73"/>
      <c r="O10" s="73"/>
      <c r="P10" s="73"/>
      <c r="Q10" s="73"/>
      <c r="R10" s="73"/>
      <c r="S10" s="73"/>
      <c r="T10" s="73"/>
      <c r="U10" s="73"/>
      <c r="V10" s="73"/>
    </row>
    <row r="11" spans="1:22" s="2" customFormat="1" ht="18.75" x14ac:dyDescent="0.2">
      <c r="A11" s="74"/>
      <c r="B11" s="74"/>
      <c r="C11" s="173"/>
      <c r="D11" s="74"/>
      <c r="E11" s="74"/>
      <c r="F11" s="74"/>
      <c r="G11" s="74"/>
      <c r="H11" s="74"/>
      <c r="I11" s="73"/>
      <c r="J11" s="73"/>
      <c r="K11" s="73"/>
      <c r="L11" s="73"/>
      <c r="M11" s="73"/>
      <c r="N11" s="73"/>
      <c r="O11" s="73"/>
      <c r="P11" s="73"/>
      <c r="Q11" s="73"/>
      <c r="R11" s="73"/>
      <c r="S11" s="73"/>
      <c r="T11" s="73"/>
      <c r="U11" s="73"/>
      <c r="V11" s="73"/>
    </row>
    <row r="12" spans="1:22" s="2" customFormat="1" ht="18.75" x14ac:dyDescent="0.2">
      <c r="A12" s="436" t="s">
        <v>596</v>
      </c>
      <c r="B12" s="436"/>
      <c r="C12" s="436"/>
      <c r="D12" s="75"/>
      <c r="E12" s="75"/>
      <c r="F12" s="75"/>
      <c r="G12" s="75"/>
      <c r="H12" s="75"/>
      <c r="I12" s="73"/>
      <c r="J12" s="73"/>
      <c r="K12" s="73"/>
      <c r="L12" s="73"/>
      <c r="M12" s="73"/>
      <c r="N12" s="73"/>
      <c r="O12" s="73"/>
      <c r="P12" s="73"/>
      <c r="Q12" s="73"/>
      <c r="R12" s="73"/>
      <c r="S12" s="73"/>
      <c r="T12" s="73"/>
      <c r="U12" s="73"/>
      <c r="V12" s="73"/>
    </row>
    <row r="13" spans="1:22" s="2" customFormat="1" ht="18.75" x14ac:dyDescent="0.2">
      <c r="A13" s="434" t="s">
        <v>5</v>
      </c>
      <c r="B13" s="434"/>
      <c r="C13" s="434"/>
      <c r="D13" s="76"/>
      <c r="E13" s="76"/>
      <c r="F13" s="76"/>
      <c r="G13" s="76"/>
      <c r="H13" s="76"/>
      <c r="I13" s="73"/>
      <c r="J13" s="73"/>
      <c r="K13" s="73"/>
      <c r="L13" s="73"/>
      <c r="M13" s="73"/>
      <c r="N13" s="73"/>
      <c r="O13" s="73"/>
      <c r="P13" s="73"/>
      <c r="Q13" s="73"/>
      <c r="R13" s="73"/>
      <c r="S13" s="73"/>
      <c r="T13" s="73"/>
      <c r="U13" s="73"/>
      <c r="V13" s="73"/>
    </row>
    <row r="14" spans="1:22" s="78" customFormat="1" ht="15.75" customHeight="1" x14ac:dyDescent="0.2">
      <c r="A14" s="77"/>
      <c r="B14" s="77"/>
      <c r="C14" s="174"/>
      <c r="D14" s="77"/>
      <c r="E14" s="77"/>
      <c r="F14" s="77"/>
      <c r="G14" s="77"/>
      <c r="H14" s="77"/>
      <c r="I14" s="77"/>
      <c r="J14" s="77"/>
      <c r="K14" s="77"/>
      <c r="L14" s="77"/>
      <c r="M14" s="77"/>
      <c r="N14" s="77"/>
      <c r="O14" s="77"/>
      <c r="P14" s="77"/>
      <c r="Q14" s="77"/>
      <c r="R14" s="77"/>
      <c r="S14" s="77"/>
      <c r="T14" s="77"/>
      <c r="U14" s="77"/>
      <c r="V14" s="77"/>
    </row>
    <row r="15" spans="1:22" s="79" customFormat="1" ht="47.25" customHeight="1" x14ac:dyDescent="0.2">
      <c r="A15" s="435" t="s">
        <v>597</v>
      </c>
      <c r="B15" s="435"/>
      <c r="C15" s="435"/>
      <c r="D15" s="75"/>
      <c r="E15" s="75"/>
      <c r="F15" s="75"/>
      <c r="G15" s="75"/>
      <c r="H15" s="75"/>
      <c r="I15" s="75"/>
      <c r="J15" s="75"/>
      <c r="K15" s="75"/>
      <c r="L15" s="75"/>
      <c r="M15" s="75"/>
      <c r="N15" s="75"/>
      <c r="O15" s="75"/>
      <c r="P15" s="75"/>
      <c r="Q15" s="75"/>
      <c r="R15" s="75"/>
      <c r="S15" s="75"/>
      <c r="T15" s="75"/>
      <c r="U15" s="75"/>
      <c r="V15" s="75"/>
    </row>
    <row r="16" spans="1:22" s="79" customFormat="1" ht="15" customHeight="1" x14ac:dyDescent="0.2">
      <c r="A16" s="434" t="s">
        <v>4</v>
      </c>
      <c r="B16" s="434"/>
      <c r="C16" s="434"/>
      <c r="D16" s="76"/>
      <c r="E16" s="76"/>
      <c r="F16" s="76"/>
      <c r="G16" s="76"/>
      <c r="H16" s="76"/>
      <c r="I16" s="76"/>
      <c r="J16" s="76"/>
      <c r="K16" s="76"/>
      <c r="L16" s="76"/>
      <c r="M16" s="76"/>
      <c r="N16" s="76"/>
      <c r="O16" s="76"/>
      <c r="P16" s="76"/>
      <c r="Q16" s="76"/>
      <c r="R16" s="76"/>
      <c r="S16" s="76"/>
      <c r="T16" s="76"/>
      <c r="U16" s="76"/>
      <c r="V16" s="76"/>
    </row>
    <row r="17" spans="1:22" s="79" customFormat="1" ht="15" customHeight="1" x14ac:dyDescent="0.2">
      <c r="A17" s="80"/>
      <c r="B17" s="80"/>
      <c r="C17" s="175"/>
      <c r="D17" s="80"/>
      <c r="E17" s="80"/>
      <c r="F17" s="80"/>
      <c r="G17" s="80"/>
      <c r="H17" s="80"/>
      <c r="I17" s="80"/>
      <c r="J17" s="80"/>
      <c r="K17" s="80"/>
      <c r="L17" s="80"/>
      <c r="M17" s="80"/>
      <c r="N17" s="80"/>
      <c r="O17" s="80"/>
      <c r="P17" s="80"/>
      <c r="Q17" s="80"/>
      <c r="R17" s="80"/>
      <c r="S17" s="80"/>
    </row>
    <row r="18" spans="1:22" s="79" customFormat="1" ht="15" customHeight="1" x14ac:dyDescent="0.2">
      <c r="A18" s="435" t="s">
        <v>374</v>
      </c>
      <c r="B18" s="436"/>
      <c r="C18" s="436"/>
      <c r="D18" s="81"/>
      <c r="E18" s="81"/>
      <c r="F18" s="81"/>
      <c r="G18" s="81"/>
      <c r="H18" s="81"/>
      <c r="I18" s="81"/>
      <c r="J18" s="81"/>
      <c r="K18" s="81"/>
      <c r="L18" s="81"/>
      <c r="M18" s="81"/>
      <c r="N18" s="81"/>
      <c r="O18" s="81"/>
      <c r="P18" s="81"/>
      <c r="Q18" s="81"/>
      <c r="R18" s="81"/>
      <c r="S18" s="81"/>
      <c r="T18" s="81"/>
      <c r="U18" s="81"/>
      <c r="V18" s="81"/>
    </row>
    <row r="19" spans="1:22" s="79" customFormat="1" ht="15" customHeight="1" x14ac:dyDescent="0.2">
      <c r="A19" s="76"/>
      <c r="B19" s="76"/>
      <c r="C19" s="176"/>
      <c r="D19" s="76"/>
      <c r="E19" s="76"/>
      <c r="F19" s="76"/>
      <c r="G19" s="76"/>
      <c r="H19" s="76"/>
      <c r="I19" s="80"/>
      <c r="J19" s="80"/>
      <c r="K19" s="80"/>
      <c r="L19" s="80"/>
      <c r="M19" s="80"/>
      <c r="N19" s="80"/>
      <c r="O19" s="80"/>
      <c r="P19" s="80"/>
      <c r="Q19" s="80"/>
      <c r="R19" s="80"/>
      <c r="S19" s="80"/>
    </row>
    <row r="20" spans="1:22" s="79" customFormat="1" ht="39.75" customHeight="1" x14ac:dyDescent="0.2">
      <c r="A20" s="82" t="s">
        <v>3</v>
      </c>
      <c r="B20" s="83" t="s">
        <v>64</v>
      </c>
      <c r="C20" s="84" t="s">
        <v>63</v>
      </c>
      <c r="D20" s="85"/>
      <c r="E20" s="85"/>
      <c r="F20" s="85"/>
      <c r="G20" s="85"/>
      <c r="H20" s="85"/>
      <c r="I20" s="86"/>
      <c r="J20" s="86"/>
      <c r="K20" s="86"/>
      <c r="L20" s="86"/>
      <c r="M20" s="86"/>
      <c r="N20" s="86"/>
      <c r="O20" s="86"/>
      <c r="P20" s="86"/>
      <c r="Q20" s="86"/>
      <c r="R20" s="86"/>
      <c r="S20" s="86"/>
      <c r="T20" s="87"/>
      <c r="U20" s="87"/>
      <c r="V20" s="87"/>
    </row>
    <row r="21" spans="1:22" s="79" customFormat="1" ht="16.5" customHeight="1" x14ac:dyDescent="0.2">
      <c r="A21" s="84">
        <v>1</v>
      </c>
      <c r="B21" s="83">
        <v>2</v>
      </c>
      <c r="C21" s="84">
        <v>3</v>
      </c>
      <c r="D21" s="85"/>
      <c r="E21" s="85"/>
      <c r="F21" s="85"/>
      <c r="G21" s="85"/>
      <c r="H21" s="85"/>
      <c r="I21" s="86"/>
      <c r="J21" s="86"/>
      <c r="K21" s="86"/>
      <c r="L21" s="86"/>
      <c r="M21" s="86"/>
      <c r="N21" s="86"/>
      <c r="O21" s="86"/>
      <c r="P21" s="86"/>
      <c r="Q21" s="86"/>
      <c r="R21" s="86"/>
      <c r="S21" s="86"/>
      <c r="T21" s="87"/>
      <c r="U21" s="87"/>
      <c r="V21" s="87"/>
    </row>
    <row r="22" spans="1:22" s="79" customFormat="1" ht="55.5" customHeight="1" x14ac:dyDescent="0.2">
      <c r="A22" s="88" t="s">
        <v>62</v>
      </c>
      <c r="B22" s="89" t="s">
        <v>258</v>
      </c>
      <c r="C22" s="180" t="s">
        <v>473</v>
      </c>
      <c r="D22" s="85"/>
      <c r="E22" s="85"/>
      <c r="F22" s="85"/>
      <c r="G22" s="85"/>
      <c r="H22" s="85"/>
      <c r="I22" s="86"/>
      <c r="J22" s="86"/>
      <c r="K22" s="86"/>
      <c r="L22" s="86"/>
      <c r="M22" s="86"/>
      <c r="N22" s="86"/>
      <c r="O22" s="86"/>
      <c r="P22" s="86"/>
      <c r="Q22" s="86"/>
      <c r="R22" s="86"/>
      <c r="S22" s="86"/>
      <c r="T22" s="87"/>
      <c r="U22" s="87"/>
      <c r="V22" s="87"/>
    </row>
    <row r="23" spans="1:22" s="79" customFormat="1" ht="101.25" customHeight="1" x14ac:dyDescent="0.2">
      <c r="A23" s="88" t="s">
        <v>61</v>
      </c>
      <c r="B23" s="90" t="s">
        <v>472</v>
      </c>
      <c r="C23" s="180" t="s">
        <v>474</v>
      </c>
      <c r="D23" s="85"/>
      <c r="E23" s="85"/>
      <c r="F23" s="85"/>
      <c r="G23" s="85"/>
      <c r="H23" s="85"/>
      <c r="I23" s="86"/>
      <c r="J23" s="86"/>
      <c r="K23" s="86"/>
      <c r="L23" s="86"/>
      <c r="M23" s="86"/>
      <c r="N23" s="86"/>
      <c r="O23" s="86"/>
      <c r="P23" s="86"/>
      <c r="Q23" s="86"/>
      <c r="R23" s="86"/>
      <c r="S23" s="86"/>
      <c r="T23" s="87"/>
      <c r="U23" s="87"/>
      <c r="V23" s="87"/>
    </row>
    <row r="24" spans="1:22" s="79" customFormat="1" ht="22.5" customHeight="1" x14ac:dyDescent="0.2">
      <c r="A24" s="431"/>
      <c r="B24" s="432"/>
      <c r="C24" s="433"/>
      <c r="D24" s="85"/>
      <c r="E24" s="85"/>
      <c r="F24" s="85"/>
      <c r="G24" s="85"/>
      <c r="H24" s="85"/>
      <c r="I24" s="86"/>
      <c r="J24" s="86"/>
      <c r="K24" s="86"/>
      <c r="L24" s="86"/>
      <c r="M24" s="86"/>
      <c r="N24" s="86"/>
      <c r="O24" s="86"/>
      <c r="P24" s="86"/>
      <c r="Q24" s="86"/>
      <c r="R24" s="86"/>
      <c r="S24" s="86"/>
      <c r="T24" s="87"/>
      <c r="U24" s="87"/>
      <c r="V24" s="87"/>
    </row>
    <row r="25" spans="1:22" s="95" customFormat="1" ht="58.5" customHeight="1" x14ac:dyDescent="0.2">
      <c r="A25" s="88" t="s">
        <v>60</v>
      </c>
      <c r="B25" s="91" t="s">
        <v>323</v>
      </c>
      <c r="C25" s="96" t="s">
        <v>475</v>
      </c>
      <c r="D25" s="92"/>
      <c r="E25" s="92"/>
      <c r="F25" s="92"/>
      <c r="G25" s="92"/>
      <c r="H25" s="93"/>
      <c r="I25" s="93"/>
      <c r="J25" s="93"/>
      <c r="K25" s="93"/>
      <c r="L25" s="93"/>
      <c r="M25" s="93"/>
      <c r="N25" s="93"/>
      <c r="O25" s="93"/>
      <c r="P25" s="93"/>
      <c r="Q25" s="93"/>
      <c r="R25" s="93"/>
      <c r="S25" s="94"/>
      <c r="T25" s="94"/>
      <c r="U25" s="94"/>
      <c r="V25" s="94"/>
    </row>
    <row r="26" spans="1:22" s="95" customFormat="1" ht="42.75" customHeight="1" x14ac:dyDescent="0.2">
      <c r="A26" s="88" t="s">
        <v>59</v>
      </c>
      <c r="B26" s="91" t="s">
        <v>72</v>
      </c>
      <c r="C26" s="96" t="s">
        <v>388</v>
      </c>
      <c r="D26" s="92"/>
      <c r="E26" s="92"/>
      <c r="F26" s="92"/>
      <c r="G26" s="92"/>
      <c r="H26" s="93"/>
      <c r="I26" s="93"/>
      <c r="J26" s="93"/>
      <c r="K26" s="93"/>
      <c r="L26" s="93"/>
      <c r="M26" s="93"/>
      <c r="N26" s="93"/>
      <c r="O26" s="93"/>
      <c r="P26" s="93"/>
      <c r="Q26" s="93"/>
      <c r="R26" s="93"/>
      <c r="S26" s="94"/>
      <c r="T26" s="94"/>
      <c r="U26" s="94"/>
      <c r="V26" s="94"/>
    </row>
    <row r="27" spans="1:22" s="95" customFormat="1" ht="51.75" customHeight="1" x14ac:dyDescent="0.2">
      <c r="A27" s="88" t="s">
        <v>57</v>
      </c>
      <c r="B27" s="91" t="s">
        <v>71</v>
      </c>
      <c r="C27" s="177" t="s">
        <v>598</v>
      </c>
      <c r="D27" s="92"/>
      <c r="E27" s="92"/>
      <c r="F27" s="92"/>
      <c r="G27" s="92"/>
      <c r="H27" s="93"/>
      <c r="I27" s="93"/>
      <c r="J27" s="93"/>
      <c r="K27" s="93"/>
      <c r="L27" s="93"/>
      <c r="M27" s="93"/>
      <c r="N27" s="93"/>
      <c r="O27" s="93"/>
      <c r="P27" s="93"/>
      <c r="Q27" s="93"/>
      <c r="R27" s="93"/>
      <c r="S27" s="94"/>
      <c r="T27" s="94"/>
      <c r="U27" s="94"/>
      <c r="V27" s="94"/>
    </row>
    <row r="28" spans="1:22" s="95" customFormat="1" ht="42.75" customHeight="1" x14ac:dyDescent="0.2">
      <c r="A28" s="88" t="s">
        <v>56</v>
      </c>
      <c r="B28" s="91" t="s">
        <v>324</v>
      </c>
      <c r="C28" s="96" t="s">
        <v>406</v>
      </c>
      <c r="D28" s="92"/>
      <c r="E28" s="92"/>
      <c r="F28" s="92"/>
      <c r="G28" s="92"/>
      <c r="H28" s="93"/>
      <c r="I28" s="93"/>
      <c r="J28" s="93"/>
      <c r="K28" s="93"/>
      <c r="L28" s="93"/>
      <c r="M28" s="93"/>
      <c r="N28" s="93"/>
      <c r="O28" s="93"/>
      <c r="P28" s="93"/>
      <c r="Q28" s="93"/>
      <c r="R28" s="93"/>
      <c r="S28" s="94"/>
      <c r="T28" s="94"/>
      <c r="U28" s="94"/>
      <c r="V28" s="94"/>
    </row>
    <row r="29" spans="1:22" s="95" customFormat="1" ht="51.75" customHeight="1" x14ac:dyDescent="0.2">
      <c r="A29" s="88" t="s">
        <v>54</v>
      </c>
      <c r="B29" s="91" t="s">
        <v>325</v>
      </c>
      <c r="C29" s="96" t="s">
        <v>406</v>
      </c>
      <c r="D29" s="92"/>
      <c r="E29" s="92"/>
      <c r="F29" s="92"/>
      <c r="G29" s="92"/>
      <c r="H29" s="93"/>
      <c r="I29" s="93"/>
      <c r="J29" s="93"/>
      <c r="K29" s="93"/>
      <c r="L29" s="93"/>
      <c r="M29" s="93"/>
      <c r="N29" s="93"/>
      <c r="O29" s="93"/>
      <c r="P29" s="93"/>
      <c r="Q29" s="93"/>
      <c r="R29" s="93"/>
      <c r="S29" s="94"/>
      <c r="T29" s="94"/>
      <c r="U29" s="94"/>
      <c r="V29" s="94"/>
    </row>
    <row r="30" spans="1:22" s="95" customFormat="1" ht="51.75" customHeight="1" x14ac:dyDescent="0.2">
      <c r="A30" s="88" t="s">
        <v>52</v>
      </c>
      <c r="B30" s="91" t="s">
        <v>326</v>
      </c>
      <c r="C30" s="96" t="s">
        <v>406</v>
      </c>
      <c r="D30" s="92"/>
      <c r="E30" s="92"/>
      <c r="F30" s="92"/>
      <c r="G30" s="92"/>
      <c r="H30" s="93"/>
      <c r="I30" s="93"/>
      <c r="J30" s="93"/>
      <c r="K30" s="93"/>
      <c r="L30" s="93"/>
      <c r="M30" s="93"/>
      <c r="N30" s="93"/>
      <c r="O30" s="93"/>
      <c r="P30" s="93"/>
      <c r="Q30" s="93"/>
      <c r="R30" s="93"/>
      <c r="S30" s="94"/>
      <c r="T30" s="94"/>
      <c r="U30" s="94"/>
      <c r="V30" s="94"/>
    </row>
    <row r="31" spans="1:22" s="95" customFormat="1" ht="51.75" customHeight="1" x14ac:dyDescent="0.2">
      <c r="A31" s="88" t="s">
        <v>70</v>
      </c>
      <c r="B31" s="96" t="s">
        <v>327</v>
      </c>
      <c r="C31" s="96" t="s">
        <v>534</v>
      </c>
      <c r="D31" s="92"/>
      <c r="E31" s="92"/>
      <c r="F31" s="92"/>
      <c r="G31" s="92"/>
      <c r="H31" s="93"/>
      <c r="I31" s="93"/>
      <c r="J31" s="93"/>
      <c r="K31" s="93"/>
      <c r="L31" s="93"/>
      <c r="M31" s="93"/>
      <c r="N31" s="93"/>
      <c r="O31" s="93"/>
      <c r="P31" s="93"/>
      <c r="Q31" s="93"/>
      <c r="R31" s="93"/>
      <c r="S31" s="94"/>
      <c r="T31" s="94"/>
      <c r="U31" s="94"/>
      <c r="V31" s="94"/>
    </row>
    <row r="32" spans="1:22" s="95" customFormat="1" ht="51.75" customHeight="1" x14ac:dyDescent="0.2">
      <c r="A32" s="88" t="s">
        <v>68</v>
      </c>
      <c r="B32" s="96" t="s">
        <v>328</v>
      </c>
      <c r="C32" s="96" t="s">
        <v>406</v>
      </c>
      <c r="D32" s="92"/>
      <c r="E32" s="92"/>
      <c r="F32" s="92"/>
      <c r="G32" s="92"/>
      <c r="H32" s="93"/>
      <c r="I32" s="93"/>
      <c r="J32" s="93"/>
      <c r="K32" s="93"/>
      <c r="L32" s="93"/>
      <c r="M32" s="93"/>
      <c r="N32" s="93"/>
      <c r="O32" s="93"/>
      <c r="P32" s="93"/>
      <c r="Q32" s="93"/>
      <c r="R32" s="93"/>
      <c r="S32" s="94"/>
      <c r="T32" s="94"/>
      <c r="U32" s="94"/>
      <c r="V32" s="94"/>
    </row>
    <row r="33" spans="1:22" s="95" customFormat="1" ht="101.25" customHeight="1" x14ac:dyDescent="0.2">
      <c r="A33" s="88" t="s">
        <v>67</v>
      </c>
      <c r="B33" s="96" t="s">
        <v>329</v>
      </c>
      <c r="C33" s="96" t="s">
        <v>535</v>
      </c>
      <c r="D33" s="92"/>
      <c r="E33" s="92"/>
      <c r="F33" s="92"/>
      <c r="G33" s="92"/>
      <c r="H33" s="93"/>
      <c r="I33" s="93"/>
      <c r="J33" s="93"/>
      <c r="K33" s="93"/>
      <c r="L33" s="93"/>
      <c r="M33" s="93"/>
      <c r="N33" s="93"/>
      <c r="O33" s="93"/>
      <c r="P33" s="93"/>
      <c r="Q33" s="93"/>
      <c r="R33" s="93"/>
      <c r="S33" s="94"/>
      <c r="T33" s="94"/>
      <c r="U33" s="94"/>
      <c r="V33" s="94"/>
    </row>
    <row r="34" spans="1:22" ht="111" customHeight="1" x14ac:dyDescent="0.25">
      <c r="A34" s="88" t="s">
        <v>343</v>
      </c>
      <c r="B34" s="96" t="s">
        <v>330</v>
      </c>
      <c r="C34" s="96" t="s">
        <v>406</v>
      </c>
      <c r="D34" s="97"/>
      <c r="E34" s="97"/>
      <c r="F34" s="97"/>
      <c r="G34" s="97"/>
      <c r="H34" s="97"/>
      <c r="I34" s="97"/>
      <c r="J34" s="97"/>
      <c r="K34" s="97"/>
      <c r="L34" s="97"/>
      <c r="M34" s="97"/>
      <c r="N34" s="97"/>
      <c r="O34" s="97"/>
      <c r="P34" s="97"/>
      <c r="Q34" s="97"/>
      <c r="R34" s="97"/>
      <c r="S34" s="97"/>
      <c r="T34" s="97"/>
      <c r="U34" s="97"/>
      <c r="V34" s="97"/>
    </row>
    <row r="35" spans="1:22" ht="58.5" customHeight="1" x14ac:dyDescent="0.25">
      <c r="A35" s="88" t="s">
        <v>333</v>
      </c>
      <c r="B35" s="96" t="s">
        <v>69</v>
      </c>
      <c r="C35" s="96" t="s">
        <v>406</v>
      </c>
      <c r="D35" s="97"/>
      <c r="E35" s="97"/>
      <c r="F35" s="97"/>
      <c r="G35" s="97"/>
      <c r="H35" s="97"/>
      <c r="I35" s="97"/>
      <c r="J35" s="97"/>
      <c r="K35" s="97"/>
      <c r="L35" s="97"/>
      <c r="M35" s="97"/>
      <c r="N35" s="97"/>
      <c r="O35" s="97"/>
      <c r="P35" s="97"/>
      <c r="Q35" s="97"/>
      <c r="R35" s="97"/>
      <c r="S35" s="97"/>
      <c r="T35" s="97"/>
      <c r="U35" s="97"/>
      <c r="V35" s="97"/>
    </row>
    <row r="36" spans="1:22" ht="51.75" customHeight="1" x14ac:dyDescent="0.25">
      <c r="A36" s="88" t="s">
        <v>344</v>
      </c>
      <c r="B36" s="96" t="s">
        <v>331</v>
      </c>
      <c r="C36" s="96" t="s">
        <v>406</v>
      </c>
      <c r="D36" s="97"/>
      <c r="E36" s="97"/>
      <c r="F36" s="97"/>
      <c r="G36" s="97"/>
      <c r="H36" s="97"/>
      <c r="I36" s="97"/>
      <c r="J36" s="97"/>
      <c r="K36" s="97"/>
      <c r="L36" s="97"/>
      <c r="M36" s="97"/>
      <c r="N36" s="97"/>
      <c r="O36" s="97"/>
      <c r="P36" s="97"/>
      <c r="Q36" s="97"/>
      <c r="R36" s="97"/>
      <c r="S36" s="97"/>
      <c r="T36" s="97"/>
      <c r="U36" s="97"/>
      <c r="V36" s="97"/>
    </row>
    <row r="37" spans="1:22" ht="43.5" customHeight="1" x14ac:dyDescent="0.25">
      <c r="A37" s="88" t="s">
        <v>334</v>
      </c>
      <c r="B37" s="96" t="s">
        <v>332</v>
      </c>
      <c r="C37" s="96" t="s">
        <v>599</v>
      </c>
      <c r="D37" s="97"/>
      <c r="E37" s="97"/>
      <c r="F37" s="97"/>
      <c r="G37" s="97"/>
      <c r="H37" s="97"/>
      <c r="I37" s="97"/>
      <c r="J37" s="97"/>
      <c r="K37" s="97"/>
      <c r="L37" s="97"/>
      <c r="M37" s="97"/>
      <c r="N37" s="97"/>
      <c r="O37" s="97"/>
      <c r="P37" s="97"/>
      <c r="Q37" s="97"/>
      <c r="R37" s="97"/>
      <c r="S37" s="97"/>
      <c r="T37" s="97"/>
      <c r="U37" s="97"/>
      <c r="V37" s="97"/>
    </row>
    <row r="38" spans="1:22" ht="43.5" customHeight="1" x14ac:dyDescent="0.25">
      <c r="A38" s="88" t="s">
        <v>345</v>
      </c>
      <c r="B38" s="96" t="s">
        <v>203</v>
      </c>
      <c r="C38" s="96" t="s">
        <v>406</v>
      </c>
      <c r="D38" s="97"/>
      <c r="E38" s="97"/>
      <c r="F38" s="97"/>
      <c r="G38" s="97"/>
      <c r="H38" s="97"/>
      <c r="I38" s="97"/>
      <c r="J38" s="97"/>
      <c r="K38" s="97"/>
      <c r="L38" s="97"/>
      <c r="M38" s="97"/>
      <c r="N38" s="97"/>
      <c r="O38" s="97"/>
      <c r="P38" s="97"/>
      <c r="Q38" s="97"/>
      <c r="R38" s="97"/>
      <c r="S38" s="97"/>
      <c r="T38" s="97"/>
      <c r="U38" s="97"/>
      <c r="V38" s="97"/>
    </row>
    <row r="39" spans="1:22" ht="23.25" customHeight="1" x14ac:dyDescent="0.25">
      <c r="A39" s="431"/>
      <c r="B39" s="432"/>
      <c r="C39" s="433"/>
      <c r="D39" s="97"/>
      <c r="E39" s="97"/>
      <c r="F39" s="97"/>
      <c r="G39" s="97"/>
      <c r="H39" s="97"/>
      <c r="I39" s="97"/>
      <c r="J39" s="97"/>
      <c r="K39" s="97"/>
      <c r="L39" s="97"/>
      <c r="M39" s="97"/>
      <c r="N39" s="97"/>
      <c r="O39" s="97"/>
      <c r="P39" s="97"/>
      <c r="Q39" s="97"/>
      <c r="R39" s="97"/>
      <c r="S39" s="97"/>
      <c r="T39" s="97"/>
      <c r="U39" s="97"/>
      <c r="V39" s="97"/>
    </row>
    <row r="40" spans="1:22" ht="63" x14ac:dyDescent="0.25">
      <c r="A40" s="88" t="s">
        <v>335</v>
      </c>
      <c r="B40" s="96" t="s">
        <v>385</v>
      </c>
      <c r="C40" s="181" t="str">
        <f>CONCATENATE("∆P15тп_тр=",'3.1. паспорт Техсостояние ПС'!O27," МВА; ∆L15тп_лэп=",('3.2 паспорт Техсостояние ЛЭП'!R25)," км; ∆L0,4тп_лэп=",('3.2 паспорт Техсостояние ЛЭП'!R34-'3.2 паспорт Техсостояние ЛЭП'!R25)," км;
SТПпотр=",'2. паспорт  ТП'!H25," МВт; Nсд_тпр=",'2. паспорт  ТП'!A24," договора; Фтз=",ROUND('5. анализ эконом эфф'!B122,2)," млн.руб.")</f>
        <v>∆P15тп_тр=2 МВА; ∆L15тп_лэп=1,2 км; ∆L0,4тп_лэп=2,42 км;
SТПпотр=1,1595 МВт; Nсд_тпр=3 договора; Фтз=76,06 млн.руб.</v>
      </c>
      <c r="D40" s="97"/>
      <c r="E40" s="97"/>
      <c r="F40" s="97"/>
      <c r="G40" s="97"/>
      <c r="H40" s="97"/>
      <c r="I40" s="97"/>
      <c r="J40" s="97"/>
      <c r="K40" s="97"/>
      <c r="L40" s="97"/>
      <c r="M40" s="97"/>
      <c r="N40" s="97"/>
      <c r="O40" s="97"/>
      <c r="P40" s="97"/>
      <c r="Q40" s="97"/>
      <c r="R40" s="97"/>
      <c r="S40" s="97"/>
      <c r="T40" s="97"/>
      <c r="U40" s="97"/>
      <c r="V40" s="97"/>
    </row>
    <row r="41" spans="1:22" ht="105.75" customHeight="1" x14ac:dyDescent="0.25">
      <c r="A41" s="88" t="s">
        <v>346</v>
      </c>
      <c r="B41" s="96" t="s">
        <v>369</v>
      </c>
      <c r="C41" s="181" t="s">
        <v>536</v>
      </c>
      <c r="D41" s="97"/>
      <c r="E41" s="97"/>
      <c r="F41" s="97"/>
      <c r="G41" s="97"/>
      <c r="H41" s="97"/>
      <c r="I41" s="97"/>
      <c r="J41" s="97"/>
      <c r="K41" s="97"/>
      <c r="L41" s="97"/>
      <c r="M41" s="97"/>
      <c r="N41" s="97"/>
      <c r="O41" s="97"/>
      <c r="P41" s="97"/>
      <c r="Q41" s="97"/>
      <c r="R41" s="97"/>
      <c r="S41" s="97"/>
      <c r="T41" s="97"/>
      <c r="U41" s="97"/>
      <c r="V41" s="97"/>
    </row>
    <row r="42" spans="1:22" ht="83.25" customHeight="1" x14ac:dyDescent="0.25">
      <c r="A42" s="88" t="s">
        <v>336</v>
      </c>
      <c r="B42" s="96" t="s">
        <v>382</v>
      </c>
      <c r="C42" s="181" t="s">
        <v>536</v>
      </c>
      <c r="D42" s="97"/>
      <c r="E42" s="97"/>
      <c r="F42" s="97"/>
      <c r="G42" s="97"/>
      <c r="H42" s="97"/>
      <c r="I42" s="97"/>
      <c r="J42" s="97"/>
      <c r="K42" s="97"/>
      <c r="L42" s="97"/>
      <c r="M42" s="97"/>
      <c r="N42" s="97"/>
      <c r="O42" s="97"/>
      <c r="P42" s="97"/>
      <c r="Q42" s="97"/>
      <c r="R42" s="97"/>
      <c r="S42" s="97"/>
      <c r="T42" s="97"/>
      <c r="U42" s="97"/>
      <c r="V42" s="97"/>
    </row>
    <row r="43" spans="1:22" ht="186" customHeight="1" x14ac:dyDescent="0.25">
      <c r="A43" s="88" t="s">
        <v>349</v>
      </c>
      <c r="B43" s="96" t="s">
        <v>350</v>
      </c>
      <c r="C43" s="96" t="s">
        <v>399</v>
      </c>
      <c r="D43" s="97"/>
      <c r="E43" s="97"/>
      <c r="F43" s="97"/>
      <c r="G43" s="97"/>
      <c r="H43" s="97"/>
      <c r="I43" s="97"/>
      <c r="J43" s="97"/>
      <c r="K43" s="97"/>
      <c r="L43" s="97"/>
      <c r="M43" s="97"/>
      <c r="N43" s="97"/>
      <c r="O43" s="97"/>
      <c r="P43" s="97"/>
      <c r="Q43" s="97"/>
      <c r="R43" s="97"/>
      <c r="S43" s="97"/>
      <c r="T43" s="97"/>
      <c r="U43" s="97"/>
      <c r="V43" s="97"/>
    </row>
    <row r="44" spans="1:22" ht="111" customHeight="1" x14ac:dyDescent="0.25">
      <c r="A44" s="88" t="s">
        <v>337</v>
      </c>
      <c r="B44" s="96" t="s">
        <v>375</v>
      </c>
      <c r="C44" s="96" t="s">
        <v>475</v>
      </c>
      <c r="D44" s="97"/>
      <c r="E44" s="97"/>
      <c r="F44" s="97"/>
      <c r="G44" s="97"/>
      <c r="H44" s="97"/>
      <c r="I44" s="97"/>
      <c r="J44" s="97"/>
      <c r="K44" s="97"/>
      <c r="L44" s="97"/>
      <c r="M44" s="97"/>
      <c r="N44" s="97"/>
      <c r="O44" s="97"/>
      <c r="P44" s="97"/>
      <c r="Q44" s="97"/>
      <c r="R44" s="97"/>
      <c r="S44" s="97"/>
      <c r="T44" s="97"/>
      <c r="U44" s="97"/>
      <c r="V44" s="97"/>
    </row>
    <row r="45" spans="1:22" ht="120" customHeight="1" x14ac:dyDescent="0.25">
      <c r="A45" s="88" t="s">
        <v>370</v>
      </c>
      <c r="B45" s="96" t="s">
        <v>376</v>
      </c>
      <c r="C45" s="96" t="s">
        <v>475</v>
      </c>
      <c r="D45" s="97"/>
      <c r="E45" s="97"/>
      <c r="F45" s="97"/>
      <c r="G45" s="97"/>
      <c r="H45" s="97"/>
      <c r="I45" s="97"/>
      <c r="J45" s="97"/>
      <c r="K45" s="97"/>
      <c r="L45" s="97"/>
      <c r="M45" s="97"/>
      <c r="N45" s="97"/>
      <c r="O45" s="97"/>
      <c r="P45" s="97"/>
      <c r="Q45" s="97"/>
      <c r="R45" s="97"/>
      <c r="S45" s="97"/>
      <c r="T45" s="97"/>
      <c r="U45" s="97"/>
      <c r="V45" s="97"/>
    </row>
    <row r="46" spans="1:22" ht="101.25" customHeight="1" x14ac:dyDescent="0.25">
      <c r="A46" s="88" t="s">
        <v>338</v>
      </c>
      <c r="B46" s="96" t="s">
        <v>377</v>
      </c>
      <c r="C46" s="96" t="s">
        <v>533</v>
      </c>
      <c r="D46" s="97"/>
      <c r="E46" s="97"/>
      <c r="F46" s="97"/>
      <c r="G46" s="97"/>
      <c r="H46" s="97"/>
      <c r="I46" s="97"/>
      <c r="J46" s="97"/>
      <c r="K46" s="97"/>
      <c r="L46" s="97"/>
      <c r="M46" s="97"/>
      <c r="N46" s="97"/>
      <c r="O46" s="97"/>
      <c r="P46" s="97"/>
      <c r="Q46" s="97"/>
      <c r="R46" s="97"/>
      <c r="S46" s="97"/>
      <c r="T46" s="97"/>
      <c r="U46" s="97"/>
      <c r="V46" s="97"/>
    </row>
    <row r="47" spans="1:22" ht="18.75" customHeight="1" x14ac:dyDescent="0.25">
      <c r="A47" s="431"/>
      <c r="B47" s="432"/>
      <c r="C47" s="433"/>
      <c r="D47" s="97"/>
      <c r="E47" s="97"/>
      <c r="F47" s="97"/>
      <c r="G47" s="97"/>
      <c r="H47" s="97"/>
      <c r="I47" s="97"/>
      <c r="J47" s="97"/>
      <c r="K47" s="97"/>
      <c r="L47" s="97"/>
      <c r="M47" s="97"/>
      <c r="N47" s="97"/>
      <c r="O47" s="97"/>
      <c r="P47" s="97"/>
      <c r="Q47" s="97"/>
      <c r="R47" s="97"/>
      <c r="S47" s="97"/>
      <c r="T47" s="97"/>
      <c r="U47" s="97"/>
      <c r="V47" s="97"/>
    </row>
    <row r="48" spans="1:22" ht="75.75" customHeight="1" x14ac:dyDescent="0.25">
      <c r="A48" s="88" t="s">
        <v>371</v>
      </c>
      <c r="B48" s="96" t="s">
        <v>383</v>
      </c>
      <c r="C48" s="96" t="str">
        <f>CONCATENATE(ROUND('6.2. Паспорт фин осв ввод'!AC24,2)," млн рублей")</f>
        <v>0,08 млн рублей</v>
      </c>
      <c r="D48" s="97"/>
      <c r="E48" s="97"/>
      <c r="F48" s="97"/>
      <c r="G48" s="97"/>
      <c r="H48" s="97"/>
      <c r="I48" s="97"/>
      <c r="J48" s="97"/>
      <c r="K48" s="97"/>
      <c r="L48" s="97"/>
      <c r="M48" s="97"/>
      <c r="N48" s="97"/>
      <c r="O48" s="97"/>
      <c r="P48" s="97"/>
      <c r="Q48" s="97"/>
      <c r="R48" s="97"/>
      <c r="S48" s="97"/>
      <c r="T48" s="97"/>
      <c r="U48" s="97"/>
      <c r="V48" s="97"/>
    </row>
    <row r="49" spans="1:22" ht="71.25" customHeight="1" x14ac:dyDescent="0.25">
      <c r="A49" s="88" t="s">
        <v>339</v>
      </c>
      <c r="B49" s="96" t="s">
        <v>384</v>
      </c>
      <c r="C49" s="96" t="str">
        <f>CONCATENATE(ROUND('6.2. Паспорт фин осв ввод'!AC30,2)," млн рублей")</f>
        <v>0,08 млн рублей</v>
      </c>
      <c r="D49" s="97"/>
      <c r="E49" s="97"/>
      <c r="F49" s="97"/>
      <c r="G49" s="97"/>
      <c r="H49" s="97"/>
      <c r="I49" s="97"/>
      <c r="J49" s="97"/>
      <c r="K49" s="97"/>
      <c r="L49" s="97"/>
      <c r="M49" s="97"/>
      <c r="N49" s="97"/>
      <c r="O49" s="97"/>
      <c r="P49" s="97"/>
      <c r="Q49" s="97"/>
      <c r="R49" s="97"/>
      <c r="S49" s="97"/>
      <c r="T49" s="97"/>
      <c r="U49" s="97"/>
      <c r="V49" s="97"/>
    </row>
    <row r="50" spans="1:22" x14ac:dyDescent="0.25">
      <c r="A50" s="97"/>
      <c r="B50" s="97"/>
      <c r="C50" s="178"/>
      <c r="D50" s="97"/>
      <c r="E50" s="97"/>
      <c r="F50" s="97"/>
      <c r="G50" s="97"/>
      <c r="H50" s="97"/>
      <c r="I50" s="97"/>
      <c r="J50" s="97"/>
      <c r="K50" s="97"/>
      <c r="L50" s="97"/>
      <c r="M50" s="97"/>
      <c r="N50" s="97"/>
      <c r="O50" s="97"/>
      <c r="P50" s="97"/>
      <c r="Q50" s="97"/>
      <c r="R50" s="97"/>
      <c r="S50" s="97"/>
      <c r="T50" s="97"/>
      <c r="U50" s="97"/>
      <c r="V50" s="97"/>
    </row>
    <row r="51" spans="1:22" x14ac:dyDescent="0.25">
      <c r="A51" s="97"/>
      <c r="B51" s="97"/>
      <c r="C51" s="178"/>
      <c r="D51" s="97"/>
      <c r="E51" s="97"/>
      <c r="F51" s="97"/>
      <c r="G51" s="97"/>
      <c r="H51" s="97"/>
      <c r="I51" s="97"/>
      <c r="J51" s="97"/>
      <c r="K51" s="97"/>
      <c r="L51" s="97"/>
      <c r="M51" s="97"/>
      <c r="N51" s="97"/>
      <c r="O51" s="97"/>
      <c r="P51" s="97"/>
      <c r="Q51" s="97"/>
      <c r="R51" s="97"/>
      <c r="S51" s="97"/>
      <c r="T51" s="97"/>
      <c r="U51" s="97"/>
      <c r="V51" s="97"/>
    </row>
    <row r="52" spans="1:22" x14ac:dyDescent="0.25">
      <c r="A52" s="97"/>
      <c r="B52" s="97"/>
      <c r="C52" s="178"/>
      <c r="D52" s="97"/>
      <c r="E52" s="97"/>
      <c r="F52" s="97"/>
      <c r="G52" s="97"/>
      <c r="H52" s="97"/>
      <c r="I52" s="97"/>
      <c r="J52" s="97"/>
      <c r="K52" s="97"/>
      <c r="L52" s="97"/>
      <c r="M52" s="97"/>
      <c r="N52" s="97"/>
      <c r="O52" s="97"/>
      <c r="P52" s="97"/>
      <c r="Q52" s="97"/>
      <c r="R52" s="97"/>
      <c r="S52" s="97"/>
      <c r="T52" s="97"/>
      <c r="U52" s="97"/>
      <c r="V52" s="97"/>
    </row>
    <row r="53" spans="1:22" x14ac:dyDescent="0.25">
      <c r="A53" s="97"/>
      <c r="B53" s="97"/>
      <c r="C53" s="178"/>
      <c r="D53" s="97"/>
      <c r="E53" s="97"/>
      <c r="F53" s="97"/>
      <c r="G53" s="97"/>
      <c r="H53" s="97"/>
      <c r="I53" s="97"/>
      <c r="J53" s="97"/>
      <c r="K53" s="97"/>
      <c r="L53" s="97"/>
      <c r="M53" s="97"/>
      <c r="N53" s="97"/>
      <c r="O53" s="97"/>
      <c r="P53" s="97"/>
      <c r="Q53" s="97"/>
      <c r="R53" s="97"/>
      <c r="S53" s="97"/>
      <c r="T53" s="97"/>
      <c r="U53" s="97"/>
      <c r="V53" s="97"/>
    </row>
    <row r="54" spans="1:22" x14ac:dyDescent="0.25">
      <c r="A54" s="97"/>
      <c r="B54" s="97"/>
      <c r="C54" s="178"/>
      <c r="D54" s="97"/>
      <c r="E54" s="97"/>
      <c r="F54" s="97"/>
      <c r="G54" s="97"/>
      <c r="H54" s="97"/>
      <c r="I54" s="97"/>
      <c r="J54" s="97"/>
      <c r="K54" s="97"/>
      <c r="L54" s="97"/>
      <c r="M54" s="97"/>
      <c r="N54" s="97"/>
      <c r="O54" s="97"/>
      <c r="P54" s="97"/>
      <c r="Q54" s="97"/>
      <c r="R54" s="97"/>
      <c r="S54" s="97"/>
      <c r="T54" s="97"/>
      <c r="U54" s="97"/>
      <c r="V54" s="97"/>
    </row>
    <row r="55" spans="1:22" x14ac:dyDescent="0.25">
      <c r="A55" s="97"/>
      <c r="B55" s="97"/>
      <c r="C55" s="178"/>
      <c r="D55" s="97"/>
      <c r="E55" s="97"/>
      <c r="F55" s="97"/>
      <c r="G55" s="97"/>
      <c r="H55" s="97"/>
      <c r="I55" s="97"/>
      <c r="J55" s="97"/>
      <c r="K55" s="97"/>
      <c r="L55" s="97"/>
      <c r="M55" s="97"/>
      <c r="N55" s="97"/>
      <c r="O55" s="97"/>
      <c r="P55" s="97"/>
      <c r="Q55" s="97"/>
      <c r="R55" s="97"/>
      <c r="S55" s="97"/>
      <c r="T55" s="97"/>
      <c r="U55" s="97"/>
      <c r="V55" s="97"/>
    </row>
    <row r="56" spans="1:22" x14ac:dyDescent="0.25">
      <c r="A56" s="97"/>
      <c r="B56" s="97"/>
      <c r="C56" s="178"/>
      <c r="D56" s="97"/>
      <c r="E56" s="97"/>
      <c r="F56" s="97"/>
      <c r="G56" s="97"/>
      <c r="H56" s="97"/>
      <c r="I56" s="97"/>
      <c r="J56" s="97"/>
      <c r="K56" s="97"/>
      <c r="L56" s="97"/>
      <c r="M56" s="97"/>
      <c r="N56" s="97"/>
      <c r="O56" s="97"/>
      <c r="P56" s="97"/>
      <c r="Q56" s="97"/>
      <c r="R56" s="97"/>
      <c r="S56" s="97"/>
      <c r="T56" s="97"/>
      <c r="U56" s="97"/>
      <c r="V56" s="97"/>
    </row>
    <row r="57" spans="1:22" x14ac:dyDescent="0.25">
      <c r="A57" s="97"/>
      <c r="B57" s="97"/>
      <c r="C57" s="178"/>
      <c r="D57" s="97"/>
      <c r="E57" s="97"/>
      <c r="F57" s="97"/>
      <c r="G57" s="97"/>
      <c r="H57" s="97"/>
      <c r="I57" s="97"/>
      <c r="J57" s="97"/>
      <c r="K57" s="97"/>
      <c r="L57" s="97"/>
      <c r="M57" s="97"/>
      <c r="N57" s="97"/>
      <c r="O57" s="97"/>
      <c r="P57" s="97"/>
      <c r="Q57" s="97"/>
      <c r="R57" s="97"/>
      <c r="S57" s="97"/>
      <c r="T57" s="97"/>
      <c r="U57" s="97"/>
      <c r="V57" s="97"/>
    </row>
    <row r="58" spans="1:22" x14ac:dyDescent="0.25">
      <c r="A58" s="97"/>
      <c r="B58" s="97"/>
      <c r="C58" s="178"/>
      <c r="D58" s="97"/>
      <c r="E58" s="97"/>
      <c r="F58" s="97"/>
      <c r="G58" s="97"/>
      <c r="H58" s="97"/>
      <c r="I58" s="97"/>
      <c r="J58" s="97"/>
      <c r="K58" s="97"/>
      <c r="L58" s="97"/>
      <c r="M58" s="97"/>
      <c r="N58" s="97"/>
      <c r="O58" s="97"/>
      <c r="P58" s="97"/>
      <c r="Q58" s="97"/>
      <c r="R58" s="97"/>
      <c r="S58" s="97"/>
      <c r="T58" s="97"/>
      <c r="U58" s="97"/>
      <c r="V58" s="97"/>
    </row>
    <row r="59" spans="1:22" x14ac:dyDescent="0.25">
      <c r="A59" s="97"/>
      <c r="B59" s="97"/>
      <c r="C59" s="178"/>
      <c r="D59" s="97"/>
      <c r="E59" s="97"/>
      <c r="F59" s="97"/>
      <c r="G59" s="97"/>
      <c r="H59" s="97"/>
      <c r="I59" s="97"/>
      <c r="J59" s="97"/>
      <c r="K59" s="97"/>
      <c r="L59" s="97"/>
      <c r="M59" s="97"/>
      <c r="N59" s="97"/>
      <c r="O59" s="97"/>
      <c r="P59" s="97"/>
      <c r="Q59" s="97"/>
      <c r="R59" s="97"/>
      <c r="S59" s="97"/>
      <c r="T59" s="97"/>
      <c r="U59" s="97"/>
      <c r="V59" s="97"/>
    </row>
    <row r="60" spans="1:22" x14ac:dyDescent="0.25">
      <c r="A60" s="97"/>
      <c r="B60" s="97"/>
      <c r="C60" s="178"/>
      <c r="D60" s="97"/>
      <c r="E60" s="97"/>
      <c r="F60" s="97"/>
      <c r="G60" s="97"/>
      <c r="H60" s="97"/>
      <c r="I60" s="97"/>
      <c r="J60" s="97"/>
      <c r="K60" s="97"/>
      <c r="L60" s="97"/>
      <c r="M60" s="97"/>
      <c r="N60" s="97"/>
      <c r="O60" s="97"/>
      <c r="P60" s="97"/>
      <c r="Q60" s="97"/>
      <c r="R60" s="97"/>
      <c r="S60" s="97"/>
      <c r="T60" s="97"/>
      <c r="U60" s="97"/>
      <c r="V60" s="97"/>
    </row>
    <row r="61" spans="1:22" x14ac:dyDescent="0.25">
      <c r="A61" s="97"/>
      <c r="B61" s="97"/>
      <c r="C61" s="178"/>
      <c r="D61" s="97"/>
      <c r="E61" s="97"/>
      <c r="F61" s="97"/>
      <c r="G61" s="97"/>
      <c r="H61" s="97"/>
      <c r="I61" s="97"/>
      <c r="J61" s="97"/>
      <c r="K61" s="97"/>
      <c r="L61" s="97"/>
      <c r="M61" s="97"/>
      <c r="N61" s="97"/>
      <c r="O61" s="97"/>
      <c r="P61" s="97"/>
      <c r="Q61" s="97"/>
      <c r="R61" s="97"/>
      <c r="S61" s="97"/>
      <c r="T61" s="97"/>
      <c r="U61" s="97"/>
      <c r="V61" s="97"/>
    </row>
    <row r="62" spans="1:22" x14ac:dyDescent="0.25">
      <c r="A62" s="97"/>
      <c r="B62" s="97"/>
      <c r="C62" s="178"/>
      <c r="D62" s="97"/>
      <c r="E62" s="97"/>
      <c r="F62" s="97"/>
      <c r="G62" s="97"/>
      <c r="H62" s="97"/>
      <c r="I62" s="97"/>
      <c r="J62" s="97"/>
      <c r="K62" s="97"/>
      <c r="L62" s="97"/>
      <c r="M62" s="97"/>
      <c r="N62" s="97"/>
      <c r="O62" s="97"/>
      <c r="P62" s="97"/>
      <c r="Q62" s="97"/>
      <c r="R62" s="97"/>
      <c r="S62" s="97"/>
      <c r="T62" s="97"/>
      <c r="U62" s="97"/>
      <c r="V62" s="97"/>
    </row>
    <row r="63" spans="1:22" x14ac:dyDescent="0.25">
      <c r="A63" s="97"/>
      <c r="B63" s="97"/>
      <c r="C63" s="178"/>
      <c r="D63" s="97"/>
      <c r="E63" s="97"/>
      <c r="F63" s="97"/>
      <c r="G63" s="97"/>
      <c r="H63" s="97"/>
      <c r="I63" s="97"/>
      <c r="J63" s="97"/>
      <c r="K63" s="97"/>
      <c r="L63" s="97"/>
      <c r="M63" s="97"/>
      <c r="N63" s="97"/>
      <c r="O63" s="97"/>
      <c r="P63" s="97"/>
      <c r="Q63" s="97"/>
      <c r="R63" s="97"/>
      <c r="S63" s="97"/>
      <c r="T63" s="97"/>
      <c r="U63" s="97"/>
      <c r="V63" s="97"/>
    </row>
    <row r="64" spans="1:22" x14ac:dyDescent="0.25">
      <c r="A64" s="97"/>
      <c r="B64" s="97"/>
      <c r="C64" s="178"/>
      <c r="D64" s="97"/>
      <c r="E64" s="97"/>
      <c r="F64" s="97"/>
      <c r="G64" s="97"/>
      <c r="H64" s="97"/>
      <c r="I64" s="97"/>
      <c r="J64" s="97"/>
      <c r="K64" s="97"/>
      <c r="L64" s="97"/>
      <c r="M64" s="97"/>
      <c r="N64" s="97"/>
      <c r="O64" s="97"/>
      <c r="P64" s="97"/>
      <c r="Q64" s="97"/>
      <c r="R64" s="97"/>
      <c r="S64" s="97"/>
      <c r="T64" s="97"/>
      <c r="U64" s="97"/>
      <c r="V64" s="97"/>
    </row>
    <row r="65" spans="1:22" x14ac:dyDescent="0.25">
      <c r="A65" s="97"/>
      <c r="B65" s="97"/>
      <c r="C65" s="178"/>
      <c r="D65" s="97"/>
      <c r="E65" s="97"/>
      <c r="F65" s="97"/>
      <c r="G65" s="97"/>
      <c r="H65" s="97"/>
      <c r="I65" s="97"/>
      <c r="J65" s="97"/>
      <c r="K65" s="97"/>
      <c r="L65" s="97"/>
      <c r="M65" s="97"/>
      <c r="N65" s="97"/>
      <c r="O65" s="97"/>
      <c r="P65" s="97"/>
      <c r="Q65" s="97"/>
      <c r="R65" s="97"/>
      <c r="S65" s="97"/>
      <c r="T65" s="97"/>
      <c r="U65" s="97"/>
      <c r="V65" s="97"/>
    </row>
    <row r="66" spans="1:22" x14ac:dyDescent="0.25">
      <c r="A66" s="97"/>
      <c r="B66" s="97"/>
      <c r="C66" s="178"/>
      <c r="D66" s="97"/>
      <c r="E66" s="97"/>
      <c r="F66" s="97"/>
      <c r="G66" s="97"/>
      <c r="H66" s="97"/>
      <c r="I66" s="97"/>
      <c r="J66" s="97"/>
      <c r="K66" s="97"/>
      <c r="L66" s="97"/>
      <c r="M66" s="97"/>
      <c r="N66" s="97"/>
      <c r="O66" s="97"/>
      <c r="P66" s="97"/>
      <c r="Q66" s="97"/>
      <c r="R66" s="97"/>
      <c r="S66" s="97"/>
      <c r="T66" s="97"/>
      <c r="U66" s="97"/>
      <c r="V66" s="97"/>
    </row>
    <row r="67" spans="1:22" x14ac:dyDescent="0.25">
      <c r="A67" s="97"/>
      <c r="B67" s="97"/>
      <c r="C67" s="178"/>
      <c r="D67" s="97"/>
      <c r="E67" s="97"/>
      <c r="F67" s="97"/>
      <c r="G67" s="97"/>
      <c r="H67" s="97"/>
      <c r="I67" s="97"/>
      <c r="J67" s="97"/>
      <c r="K67" s="97"/>
      <c r="L67" s="97"/>
      <c r="M67" s="97"/>
      <c r="N67" s="97"/>
      <c r="O67" s="97"/>
      <c r="P67" s="97"/>
      <c r="Q67" s="97"/>
      <c r="R67" s="97"/>
      <c r="S67" s="97"/>
      <c r="T67" s="97"/>
      <c r="U67" s="97"/>
      <c r="V67" s="97"/>
    </row>
    <row r="68" spans="1:22" x14ac:dyDescent="0.25">
      <c r="A68" s="97"/>
      <c r="B68" s="97"/>
      <c r="C68" s="178"/>
      <c r="D68" s="97"/>
      <c r="E68" s="97"/>
      <c r="F68" s="97"/>
      <c r="G68" s="97"/>
      <c r="H68" s="97"/>
      <c r="I68" s="97"/>
      <c r="J68" s="97"/>
      <c r="K68" s="97"/>
      <c r="L68" s="97"/>
      <c r="M68" s="97"/>
      <c r="N68" s="97"/>
      <c r="O68" s="97"/>
      <c r="P68" s="97"/>
      <c r="Q68" s="97"/>
      <c r="R68" s="97"/>
      <c r="S68" s="97"/>
      <c r="T68" s="97"/>
      <c r="U68" s="97"/>
      <c r="V68" s="97"/>
    </row>
    <row r="69" spans="1:22" x14ac:dyDescent="0.25">
      <c r="A69" s="97"/>
      <c r="B69" s="97"/>
      <c r="C69" s="178"/>
      <c r="D69" s="97"/>
      <c r="E69" s="97"/>
      <c r="F69" s="97"/>
      <c r="G69" s="97"/>
      <c r="H69" s="97"/>
      <c r="I69" s="97"/>
      <c r="J69" s="97"/>
      <c r="K69" s="97"/>
      <c r="L69" s="97"/>
      <c r="M69" s="97"/>
      <c r="N69" s="97"/>
      <c r="O69" s="97"/>
      <c r="P69" s="97"/>
      <c r="Q69" s="97"/>
      <c r="R69" s="97"/>
      <c r="S69" s="97"/>
      <c r="T69" s="97"/>
      <c r="U69" s="97"/>
      <c r="V69" s="97"/>
    </row>
    <row r="70" spans="1:22" x14ac:dyDescent="0.25">
      <c r="A70" s="97"/>
      <c r="B70" s="97"/>
      <c r="C70" s="178"/>
      <c r="D70" s="97"/>
      <c r="E70" s="97"/>
      <c r="F70" s="97"/>
      <c r="G70" s="97"/>
      <c r="H70" s="97"/>
      <c r="I70" s="97"/>
      <c r="J70" s="97"/>
      <c r="K70" s="97"/>
      <c r="L70" s="97"/>
      <c r="M70" s="97"/>
      <c r="N70" s="97"/>
      <c r="O70" s="97"/>
      <c r="P70" s="97"/>
      <c r="Q70" s="97"/>
      <c r="R70" s="97"/>
      <c r="S70" s="97"/>
      <c r="T70" s="97"/>
      <c r="U70" s="97"/>
      <c r="V70" s="97"/>
    </row>
    <row r="71" spans="1:22" x14ac:dyDescent="0.25">
      <c r="A71" s="97"/>
      <c r="B71" s="97"/>
      <c r="C71" s="178"/>
      <c r="D71" s="97"/>
      <c r="E71" s="97"/>
      <c r="F71" s="97"/>
      <c r="G71" s="97"/>
      <c r="H71" s="97"/>
      <c r="I71" s="97"/>
      <c r="J71" s="97"/>
      <c r="K71" s="97"/>
      <c r="L71" s="97"/>
      <c r="M71" s="97"/>
      <c r="N71" s="97"/>
      <c r="O71" s="97"/>
      <c r="P71" s="97"/>
      <c r="Q71" s="97"/>
      <c r="R71" s="97"/>
      <c r="S71" s="97"/>
      <c r="T71" s="97"/>
      <c r="U71" s="97"/>
      <c r="V71" s="97"/>
    </row>
    <row r="72" spans="1:22" x14ac:dyDescent="0.25">
      <c r="A72" s="97"/>
      <c r="B72" s="97"/>
      <c r="C72" s="178"/>
      <c r="D72" s="97"/>
      <c r="E72" s="97"/>
      <c r="F72" s="97"/>
      <c r="G72" s="97"/>
      <c r="H72" s="97"/>
      <c r="I72" s="97"/>
      <c r="J72" s="97"/>
      <c r="K72" s="97"/>
      <c r="L72" s="97"/>
      <c r="M72" s="97"/>
      <c r="N72" s="97"/>
      <c r="O72" s="97"/>
      <c r="P72" s="97"/>
      <c r="Q72" s="97"/>
      <c r="R72" s="97"/>
      <c r="S72" s="97"/>
      <c r="T72" s="97"/>
      <c r="U72" s="97"/>
      <c r="V72" s="97"/>
    </row>
    <row r="73" spans="1:22" x14ac:dyDescent="0.25">
      <c r="A73" s="97"/>
      <c r="B73" s="97"/>
      <c r="C73" s="178"/>
      <c r="D73" s="97"/>
      <c r="E73" s="97"/>
      <c r="F73" s="97"/>
      <c r="G73" s="97"/>
      <c r="H73" s="97"/>
      <c r="I73" s="97"/>
      <c r="J73" s="97"/>
      <c r="K73" s="97"/>
      <c r="L73" s="97"/>
      <c r="M73" s="97"/>
      <c r="N73" s="97"/>
      <c r="O73" s="97"/>
      <c r="P73" s="97"/>
      <c r="Q73" s="97"/>
      <c r="R73" s="97"/>
      <c r="S73" s="97"/>
      <c r="T73" s="97"/>
      <c r="U73" s="97"/>
      <c r="V73" s="97"/>
    </row>
    <row r="74" spans="1:22" x14ac:dyDescent="0.25">
      <c r="A74" s="97"/>
      <c r="B74" s="97"/>
      <c r="C74" s="178"/>
      <c r="D74" s="97"/>
      <c r="E74" s="97"/>
      <c r="F74" s="97"/>
      <c r="G74" s="97"/>
      <c r="H74" s="97"/>
      <c r="I74" s="97"/>
      <c r="J74" s="97"/>
      <c r="K74" s="97"/>
      <c r="L74" s="97"/>
      <c r="M74" s="97"/>
      <c r="N74" s="97"/>
      <c r="O74" s="97"/>
      <c r="P74" s="97"/>
      <c r="Q74" s="97"/>
      <c r="R74" s="97"/>
      <c r="S74" s="97"/>
      <c r="T74" s="97"/>
      <c r="U74" s="97"/>
      <c r="V74" s="97"/>
    </row>
    <row r="75" spans="1:22" x14ac:dyDescent="0.25">
      <c r="A75" s="97"/>
      <c r="B75" s="97"/>
      <c r="C75" s="178"/>
      <c r="D75" s="97"/>
      <c r="E75" s="97"/>
      <c r="F75" s="97"/>
      <c r="G75" s="97"/>
      <c r="H75" s="97"/>
      <c r="I75" s="97"/>
      <c r="J75" s="97"/>
      <c r="K75" s="97"/>
      <c r="L75" s="97"/>
      <c r="M75" s="97"/>
      <c r="N75" s="97"/>
      <c r="O75" s="97"/>
      <c r="P75" s="97"/>
      <c r="Q75" s="97"/>
      <c r="R75" s="97"/>
      <c r="S75" s="97"/>
      <c r="T75" s="97"/>
      <c r="U75" s="97"/>
      <c r="V75" s="97"/>
    </row>
    <row r="76" spans="1:22" x14ac:dyDescent="0.25">
      <c r="A76" s="97"/>
      <c r="B76" s="97"/>
      <c r="C76" s="178"/>
      <c r="D76" s="97"/>
      <c r="E76" s="97"/>
      <c r="F76" s="97"/>
      <c r="G76" s="97"/>
      <c r="H76" s="97"/>
      <c r="I76" s="97"/>
      <c r="J76" s="97"/>
      <c r="K76" s="97"/>
      <c r="L76" s="97"/>
      <c r="M76" s="97"/>
      <c r="N76" s="97"/>
      <c r="O76" s="97"/>
      <c r="P76" s="97"/>
      <c r="Q76" s="97"/>
      <c r="R76" s="97"/>
      <c r="S76" s="97"/>
      <c r="T76" s="97"/>
      <c r="U76" s="97"/>
      <c r="V76" s="97"/>
    </row>
    <row r="77" spans="1:22" x14ac:dyDescent="0.25">
      <c r="A77" s="97"/>
      <c r="B77" s="97"/>
      <c r="C77" s="178"/>
      <c r="D77" s="97"/>
      <c r="E77" s="97"/>
      <c r="F77" s="97"/>
      <c r="G77" s="97"/>
      <c r="H77" s="97"/>
      <c r="I77" s="97"/>
      <c r="J77" s="97"/>
      <c r="K77" s="97"/>
      <c r="L77" s="97"/>
      <c r="M77" s="97"/>
      <c r="N77" s="97"/>
      <c r="O77" s="97"/>
      <c r="P77" s="97"/>
      <c r="Q77" s="97"/>
      <c r="R77" s="97"/>
      <c r="S77" s="97"/>
      <c r="T77" s="97"/>
      <c r="U77" s="97"/>
      <c r="V77" s="97"/>
    </row>
    <row r="78" spans="1:22" x14ac:dyDescent="0.25">
      <c r="A78" s="97"/>
      <c r="B78" s="97"/>
      <c r="C78" s="178"/>
      <c r="D78" s="97"/>
      <c r="E78" s="97"/>
      <c r="F78" s="97"/>
      <c r="G78" s="97"/>
      <c r="H78" s="97"/>
      <c r="I78" s="97"/>
      <c r="J78" s="97"/>
      <c r="K78" s="97"/>
      <c r="L78" s="97"/>
      <c r="M78" s="97"/>
      <c r="N78" s="97"/>
      <c r="O78" s="97"/>
      <c r="P78" s="97"/>
      <c r="Q78" s="97"/>
      <c r="R78" s="97"/>
      <c r="S78" s="97"/>
      <c r="T78" s="97"/>
      <c r="U78" s="97"/>
      <c r="V78" s="97"/>
    </row>
    <row r="79" spans="1:22" x14ac:dyDescent="0.25">
      <c r="A79" s="97"/>
      <c r="B79" s="97"/>
      <c r="C79" s="178"/>
      <c r="D79" s="97"/>
      <c r="E79" s="97"/>
      <c r="F79" s="97"/>
      <c r="G79" s="97"/>
      <c r="H79" s="97"/>
      <c r="I79" s="97"/>
      <c r="J79" s="97"/>
      <c r="K79" s="97"/>
      <c r="L79" s="97"/>
      <c r="M79" s="97"/>
      <c r="N79" s="97"/>
      <c r="O79" s="97"/>
      <c r="P79" s="97"/>
      <c r="Q79" s="97"/>
      <c r="R79" s="97"/>
      <c r="S79" s="97"/>
      <c r="T79" s="97"/>
      <c r="U79" s="97"/>
      <c r="V79" s="97"/>
    </row>
    <row r="80" spans="1:22" x14ac:dyDescent="0.25">
      <c r="A80" s="97"/>
      <c r="B80" s="97"/>
      <c r="C80" s="178"/>
      <c r="D80" s="97"/>
      <c r="E80" s="97"/>
      <c r="F80" s="97"/>
      <c r="G80" s="97"/>
      <c r="H80" s="97"/>
      <c r="I80" s="97"/>
      <c r="J80" s="97"/>
      <c r="K80" s="97"/>
      <c r="L80" s="97"/>
      <c r="M80" s="97"/>
      <c r="N80" s="97"/>
      <c r="O80" s="97"/>
      <c r="P80" s="97"/>
      <c r="Q80" s="97"/>
      <c r="R80" s="97"/>
      <c r="S80" s="97"/>
      <c r="T80" s="97"/>
      <c r="U80" s="97"/>
      <c r="V80" s="97"/>
    </row>
    <row r="81" spans="1:22" x14ac:dyDescent="0.25">
      <c r="A81" s="97"/>
      <c r="B81" s="97"/>
      <c r="C81" s="178"/>
      <c r="D81" s="97"/>
      <c r="E81" s="97"/>
      <c r="F81" s="97"/>
      <c r="G81" s="97"/>
      <c r="H81" s="97"/>
      <c r="I81" s="97"/>
      <c r="J81" s="97"/>
      <c r="K81" s="97"/>
      <c r="L81" s="97"/>
      <c r="M81" s="97"/>
      <c r="N81" s="97"/>
      <c r="O81" s="97"/>
      <c r="P81" s="97"/>
      <c r="Q81" s="97"/>
      <c r="R81" s="97"/>
      <c r="S81" s="97"/>
      <c r="T81" s="97"/>
      <c r="U81" s="97"/>
      <c r="V81" s="97"/>
    </row>
    <row r="82" spans="1:22" x14ac:dyDescent="0.25">
      <c r="A82" s="97"/>
      <c r="B82" s="97"/>
      <c r="C82" s="178"/>
      <c r="D82" s="97"/>
      <c r="E82" s="97"/>
      <c r="F82" s="97"/>
      <c r="G82" s="97"/>
      <c r="H82" s="97"/>
      <c r="I82" s="97"/>
      <c r="J82" s="97"/>
      <c r="K82" s="97"/>
      <c r="L82" s="97"/>
      <c r="M82" s="97"/>
      <c r="N82" s="97"/>
      <c r="O82" s="97"/>
      <c r="P82" s="97"/>
      <c r="Q82" s="97"/>
      <c r="R82" s="97"/>
      <c r="S82" s="97"/>
      <c r="T82" s="97"/>
      <c r="U82" s="97"/>
      <c r="V82" s="97"/>
    </row>
    <row r="83" spans="1:22" x14ac:dyDescent="0.25">
      <c r="A83" s="97"/>
      <c r="B83" s="97"/>
      <c r="C83" s="178"/>
      <c r="D83" s="97"/>
      <c r="E83" s="97"/>
      <c r="F83" s="97"/>
      <c r="G83" s="97"/>
      <c r="H83" s="97"/>
      <c r="I83" s="97"/>
      <c r="J83" s="97"/>
      <c r="K83" s="97"/>
      <c r="L83" s="97"/>
      <c r="M83" s="97"/>
      <c r="N83" s="97"/>
      <c r="O83" s="97"/>
      <c r="P83" s="97"/>
      <c r="Q83" s="97"/>
      <c r="R83" s="97"/>
      <c r="S83" s="97"/>
      <c r="T83" s="97"/>
      <c r="U83" s="97"/>
      <c r="V83" s="97"/>
    </row>
    <row r="84" spans="1:22" x14ac:dyDescent="0.25">
      <c r="A84" s="97"/>
      <c r="B84" s="97"/>
      <c r="C84" s="178"/>
      <c r="D84" s="97"/>
      <c r="E84" s="97"/>
      <c r="F84" s="97"/>
      <c r="G84" s="97"/>
      <c r="H84" s="97"/>
      <c r="I84" s="97"/>
      <c r="J84" s="97"/>
      <c r="K84" s="97"/>
      <c r="L84" s="97"/>
      <c r="M84" s="97"/>
      <c r="N84" s="97"/>
      <c r="O84" s="97"/>
      <c r="P84" s="97"/>
      <c r="Q84" s="97"/>
      <c r="R84" s="97"/>
      <c r="S84" s="97"/>
      <c r="T84" s="97"/>
      <c r="U84" s="97"/>
      <c r="V84" s="97"/>
    </row>
    <row r="85" spans="1:22" x14ac:dyDescent="0.25">
      <c r="A85" s="97"/>
      <c r="B85" s="97"/>
      <c r="C85" s="178"/>
      <c r="D85" s="97"/>
      <c r="E85" s="97"/>
      <c r="F85" s="97"/>
      <c r="G85" s="97"/>
      <c r="H85" s="97"/>
      <c r="I85" s="97"/>
      <c r="J85" s="97"/>
      <c r="K85" s="97"/>
      <c r="L85" s="97"/>
      <c r="M85" s="97"/>
      <c r="N85" s="97"/>
      <c r="O85" s="97"/>
      <c r="P85" s="97"/>
      <c r="Q85" s="97"/>
      <c r="R85" s="97"/>
      <c r="S85" s="97"/>
      <c r="T85" s="97"/>
      <c r="U85" s="97"/>
      <c r="V85" s="97"/>
    </row>
    <row r="86" spans="1:22" x14ac:dyDescent="0.25">
      <c r="A86" s="97"/>
      <c r="B86" s="97"/>
      <c r="C86" s="178"/>
      <c r="D86" s="97"/>
      <c r="E86" s="97"/>
      <c r="F86" s="97"/>
      <c r="G86" s="97"/>
      <c r="H86" s="97"/>
      <c r="I86" s="97"/>
      <c r="J86" s="97"/>
      <c r="K86" s="97"/>
      <c r="L86" s="97"/>
      <c r="M86" s="97"/>
      <c r="N86" s="97"/>
      <c r="O86" s="97"/>
      <c r="P86" s="97"/>
      <c r="Q86" s="97"/>
      <c r="R86" s="97"/>
      <c r="S86" s="97"/>
      <c r="T86" s="97"/>
      <c r="U86" s="97"/>
      <c r="V86" s="97"/>
    </row>
    <row r="87" spans="1:22" x14ac:dyDescent="0.25">
      <c r="A87" s="97"/>
      <c r="B87" s="97"/>
      <c r="C87" s="178"/>
      <c r="D87" s="97"/>
      <c r="E87" s="97"/>
      <c r="F87" s="97"/>
      <c r="G87" s="97"/>
      <c r="H87" s="97"/>
      <c r="I87" s="97"/>
      <c r="J87" s="97"/>
      <c r="K87" s="97"/>
      <c r="L87" s="97"/>
      <c r="M87" s="97"/>
      <c r="N87" s="97"/>
      <c r="O87" s="97"/>
      <c r="P87" s="97"/>
      <c r="Q87" s="97"/>
      <c r="R87" s="97"/>
      <c r="S87" s="97"/>
      <c r="T87" s="97"/>
      <c r="U87" s="97"/>
      <c r="V87" s="97"/>
    </row>
    <row r="88" spans="1:22" x14ac:dyDescent="0.25">
      <c r="A88" s="97"/>
      <c r="B88" s="97"/>
      <c r="C88" s="178"/>
      <c r="D88" s="97"/>
      <c r="E88" s="97"/>
      <c r="F88" s="97"/>
      <c r="G88" s="97"/>
      <c r="H88" s="97"/>
      <c r="I88" s="97"/>
      <c r="J88" s="97"/>
      <c r="K88" s="97"/>
      <c r="L88" s="97"/>
      <c r="M88" s="97"/>
      <c r="N88" s="97"/>
      <c r="O88" s="97"/>
      <c r="P88" s="97"/>
      <c r="Q88" s="97"/>
      <c r="R88" s="97"/>
      <c r="S88" s="97"/>
      <c r="T88" s="97"/>
      <c r="U88" s="97"/>
      <c r="V88" s="97"/>
    </row>
    <row r="89" spans="1:22" x14ac:dyDescent="0.25">
      <c r="A89" s="97"/>
      <c r="B89" s="97"/>
      <c r="C89" s="178"/>
      <c r="D89" s="97"/>
      <c r="E89" s="97"/>
      <c r="F89" s="97"/>
      <c r="G89" s="97"/>
      <c r="H89" s="97"/>
      <c r="I89" s="97"/>
      <c r="J89" s="97"/>
      <c r="K89" s="97"/>
      <c r="L89" s="97"/>
      <c r="M89" s="97"/>
      <c r="N89" s="97"/>
      <c r="O89" s="97"/>
      <c r="P89" s="97"/>
      <c r="Q89" s="97"/>
      <c r="R89" s="97"/>
      <c r="S89" s="97"/>
      <c r="T89" s="97"/>
      <c r="U89" s="97"/>
      <c r="V89" s="97"/>
    </row>
    <row r="90" spans="1:22" x14ac:dyDescent="0.25">
      <c r="A90" s="97"/>
      <c r="B90" s="97"/>
      <c r="C90" s="178"/>
      <c r="D90" s="97"/>
      <c r="E90" s="97"/>
      <c r="F90" s="97"/>
      <c r="G90" s="97"/>
      <c r="H90" s="97"/>
      <c r="I90" s="97"/>
      <c r="J90" s="97"/>
      <c r="K90" s="97"/>
      <c r="L90" s="97"/>
      <c r="M90" s="97"/>
      <c r="N90" s="97"/>
      <c r="O90" s="97"/>
      <c r="P90" s="97"/>
      <c r="Q90" s="97"/>
      <c r="R90" s="97"/>
      <c r="S90" s="97"/>
      <c r="T90" s="97"/>
      <c r="U90" s="97"/>
      <c r="V90" s="97"/>
    </row>
    <row r="91" spans="1:22" x14ac:dyDescent="0.25">
      <c r="A91" s="97"/>
      <c r="B91" s="97"/>
      <c r="C91" s="178"/>
      <c r="D91" s="97"/>
      <c r="E91" s="97"/>
      <c r="F91" s="97"/>
      <c r="G91" s="97"/>
      <c r="H91" s="97"/>
      <c r="I91" s="97"/>
      <c r="J91" s="97"/>
      <c r="K91" s="97"/>
      <c r="L91" s="97"/>
      <c r="M91" s="97"/>
      <c r="N91" s="97"/>
      <c r="O91" s="97"/>
      <c r="P91" s="97"/>
      <c r="Q91" s="97"/>
      <c r="R91" s="97"/>
      <c r="S91" s="97"/>
      <c r="T91" s="97"/>
      <c r="U91" s="97"/>
      <c r="V91" s="97"/>
    </row>
    <row r="92" spans="1:22" x14ac:dyDescent="0.25">
      <c r="A92" s="97"/>
      <c r="B92" s="97"/>
      <c r="C92" s="178"/>
      <c r="D92" s="97"/>
      <c r="E92" s="97"/>
      <c r="F92" s="97"/>
      <c r="G92" s="97"/>
      <c r="H92" s="97"/>
      <c r="I92" s="97"/>
      <c r="J92" s="97"/>
      <c r="K92" s="97"/>
      <c r="L92" s="97"/>
      <c r="M92" s="97"/>
      <c r="N92" s="97"/>
      <c r="O92" s="97"/>
      <c r="P92" s="97"/>
      <c r="Q92" s="97"/>
      <c r="R92" s="97"/>
      <c r="S92" s="97"/>
      <c r="T92" s="97"/>
      <c r="U92" s="97"/>
      <c r="V92" s="97"/>
    </row>
    <row r="93" spans="1:22" x14ac:dyDescent="0.25">
      <c r="A93" s="97"/>
      <c r="B93" s="97"/>
      <c r="C93" s="178"/>
      <c r="D93" s="97"/>
      <c r="E93" s="97"/>
      <c r="F93" s="97"/>
      <c r="G93" s="97"/>
      <c r="H93" s="97"/>
      <c r="I93" s="97"/>
      <c r="J93" s="97"/>
      <c r="K93" s="97"/>
      <c r="L93" s="97"/>
      <c r="M93" s="97"/>
      <c r="N93" s="97"/>
      <c r="O93" s="97"/>
      <c r="P93" s="97"/>
      <c r="Q93" s="97"/>
      <c r="R93" s="97"/>
      <c r="S93" s="97"/>
      <c r="T93" s="97"/>
      <c r="U93" s="97"/>
      <c r="V93" s="97"/>
    </row>
    <row r="94" spans="1:22" x14ac:dyDescent="0.25">
      <c r="A94" s="97"/>
      <c r="B94" s="97"/>
      <c r="C94" s="178"/>
      <c r="D94" s="97"/>
      <c r="E94" s="97"/>
      <c r="F94" s="97"/>
      <c r="G94" s="97"/>
      <c r="H94" s="97"/>
      <c r="I94" s="97"/>
      <c r="J94" s="97"/>
      <c r="K94" s="97"/>
      <c r="L94" s="97"/>
      <c r="M94" s="97"/>
      <c r="N94" s="97"/>
      <c r="O94" s="97"/>
      <c r="P94" s="97"/>
      <c r="Q94" s="97"/>
      <c r="R94" s="97"/>
      <c r="S94" s="97"/>
      <c r="T94" s="97"/>
      <c r="U94" s="97"/>
      <c r="V94" s="97"/>
    </row>
    <row r="95" spans="1:22" x14ac:dyDescent="0.25">
      <c r="A95" s="97"/>
      <c r="B95" s="97"/>
      <c r="C95" s="178"/>
      <c r="D95" s="97"/>
      <c r="E95" s="97"/>
      <c r="F95" s="97"/>
      <c r="G95" s="97"/>
      <c r="H95" s="97"/>
      <c r="I95" s="97"/>
      <c r="J95" s="97"/>
      <c r="K95" s="97"/>
      <c r="L95" s="97"/>
      <c r="M95" s="97"/>
      <c r="N95" s="97"/>
      <c r="O95" s="97"/>
      <c r="P95" s="97"/>
      <c r="Q95" s="97"/>
      <c r="R95" s="97"/>
      <c r="S95" s="97"/>
      <c r="T95" s="97"/>
      <c r="U95" s="97"/>
      <c r="V95" s="97"/>
    </row>
    <row r="96" spans="1:22" x14ac:dyDescent="0.25">
      <c r="A96" s="97"/>
      <c r="B96" s="97"/>
      <c r="C96" s="178"/>
      <c r="D96" s="97"/>
      <c r="E96" s="97"/>
      <c r="F96" s="97"/>
      <c r="G96" s="97"/>
      <c r="H96" s="97"/>
      <c r="I96" s="97"/>
      <c r="J96" s="97"/>
      <c r="K96" s="97"/>
      <c r="L96" s="97"/>
      <c r="M96" s="97"/>
      <c r="N96" s="97"/>
      <c r="O96" s="97"/>
      <c r="P96" s="97"/>
      <c r="Q96" s="97"/>
      <c r="R96" s="97"/>
      <c r="S96" s="97"/>
      <c r="T96" s="97"/>
      <c r="U96" s="97"/>
      <c r="V96" s="97"/>
    </row>
    <row r="97" spans="1:22" x14ac:dyDescent="0.25">
      <c r="A97" s="97"/>
      <c r="B97" s="97"/>
      <c r="C97" s="178"/>
      <c r="D97" s="97"/>
      <c r="E97" s="97"/>
      <c r="F97" s="97"/>
      <c r="G97" s="97"/>
      <c r="H97" s="97"/>
      <c r="I97" s="97"/>
      <c r="J97" s="97"/>
      <c r="K97" s="97"/>
      <c r="L97" s="97"/>
      <c r="M97" s="97"/>
      <c r="N97" s="97"/>
      <c r="O97" s="97"/>
      <c r="P97" s="97"/>
      <c r="Q97" s="97"/>
      <c r="R97" s="97"/>
      <c r="S97" s="97"/>
      <c r="T97" s="97"/>
      <c r="U97" s="97"/>
      <c r="V97" s="97"/>
    </row>
    <row r="98" spans="1:22" x14ac:dyDescent="0.25">
      <c r="A98" s="97"/>
      <c r="B98" s="97"/>
      <c r="C98" s="178"/>
      <c r="D98" s="97"/>
      <c r="E98" s="97"/>
      <c r="F98" s="97"/>
      <c r="G98" s="97"/>
      <c r="H98" s="97"/>
      <c r="I98" s="97"/>
      <c r="J98" s="97"/>
      <c r="K98" s="97"/>
      <c r="L98" s="97"/>
      <c r="M98" s="97"/>
      <c r="N98" s="97"/>
      <c r="O98" s="97"/>
      <c r="P98" s="97"/>
      <c r="Q98" s="97"/>
      <c r="R98" s="97"/>
      <c r="S98" s="97"/>
      <c r="T98" s="97"/>
      <c r="U98" s="97"/>
      <c r="V98" s="97"/>
    </row>
    <row r="99" spans="1:22" x14ac:dyDescent="0.25">
      <c r="A99" s="97"/>
      <c r="B99" s="97"/>
      <c r="C99" s="178"/>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178"/>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178"/>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178"/>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178"/>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178"/>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178"/>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178"/>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178"/>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178"/>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178"/>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178"/>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178"/>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178"/>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178"/>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178"/>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178"/>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178"/>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178"/>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178"/>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178"/>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178"/>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178"/>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178"/>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178"/>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178"/>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178"/>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178"/>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178"/>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178"/>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178"/>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178"/>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178"/>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178"/>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178"/>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178"/>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178"/>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178"/>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178"/>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178"/>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178"/>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178"/>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178"/>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178"/>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178"/>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178"/>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178"/>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178"/>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178"/>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178"/>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178"/>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178"/>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178"/>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178"/>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178"/>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178"/>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178"/>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178"/>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178"/>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178"/>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178"/>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178"/>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178"/>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178"/>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178"/>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178"/>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178"/>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178"/>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178"/>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178"/>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178"/>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178"/>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178"/>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178"/>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178"/>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178"/>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178"/>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178"/>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178"/>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178"/>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178"/>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178"/>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178"/>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178"/>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178"/>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178"/>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178"/>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178"/>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178"/>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178"/>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178"/>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178"/>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178"/>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178"/>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178"/>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178"/>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178"/>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178"/>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178"/>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178"/>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178"/>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178"/>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178"/>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178"/>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178"/>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178"/>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178"/>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178"/>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178"/>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178"/>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178"/>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178"/>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178"/>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178"/>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178"/>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178"/>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178"/>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178"/>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178"/>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178"/>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178"/>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178"/>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178"/>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178"/>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178"/>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178"/>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178"/>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178"/>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178"/>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178"/>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178"/>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178"/>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178"/>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178"/>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178"/>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178"/>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178"/>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178"/>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178"/>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178"/>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178"/>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178"/>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178"/>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178"/>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178"/>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178"/>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178"/>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178"/>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178"/>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178"/>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178"/>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178"/>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178"/>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178"/>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178"/>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178"/>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178"/>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178"/>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178"/>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178"/>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178"/>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178"/>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178"/>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178"/>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178"/>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178"/>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178"/>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178"/>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178"/>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178"/>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178"/>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178"/>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178"/>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178"/>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178"/>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178"/>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178"/>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178"/>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178"/>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178"/>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178"/>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178"/>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178"/>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178"/>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178"/>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178"/>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178"/>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178"/>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178"/>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178"/>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178"/>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178"/>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178"/>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178"/>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178"/>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178"/>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178"/>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178"/>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178"/>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178"/>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178"/>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178"/>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178"/>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178"/>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178"/>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178"/>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178"/>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178"/>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178"/>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178"/>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178"/>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178"/>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178"/>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178"/>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178"/>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178"/>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178"/>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178"/>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178"/>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178"/>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178"/>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178"/>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178"/>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178"/>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178"/>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178"/>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178"/>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178"/>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178"/>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178"/>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178"/>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178"/>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178"/>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178"/>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178"/>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178"/>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178"/>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178"/>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178"/>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178"/>
      <c r="D338" s="97"/>
      <c r="E338" s="97"/>
      <c r="F338" s="97"/>
      <c r="G338" s="97"/>
      <c r="H338" s="97"/>
      <c r="I338" s="97"/>
      <c r="J338" s="97"/>
      <c r="K338" s="97"/>
      <c r="L338" s="97"/>
      <c r="M338" s="97"/>
      <c r="N338" s="97"/>
      <c r="O338" s="97"/>
      <c r="P338" s="97"/>
      <c r="Q338" s="97"/>
      <c r="R338" s="97"/>
      <c r="S338" s="97"/>
      <c r="T338" s="97"/>
      <c r="U338" s="97"/>
      <c r="V338" s="97"/>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N28" sqref="N28:O28"/>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2" style="16" customWidth="1"/>
    <col min="8" max="27" width="8.85546875" style="16" customWidth="1"/>
    <col min="28" max="28" width="13.140625" style="15" customWidth="1"/>
    <col min="29" max="29" width="15" style="15" customWidth="1"/>
    <col min="30" max="30" width="9.140625" style="15"/>
    <col min="31" max="32" width="11" style="15" bestFit="1" customWidth="1"/>
    <col min="33"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30" t="str">
        <f>'1. паспорт местоположение'!A5:C5</f>
        <v>Год раскрытия информации: 2025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row>
    <row r="5" spans="1:29" ht="18.75" x14ac:dyDescent="0.3">
      <c r="A5" s="16"/>
      <c r="B5" s="16"/>
      <c r="C5" s="16"/>
      <c r="D5" s="16"/>
      <c r="E5" s="16"/>
      <c r="F5" s="16"/>
      <c r="AC5" s="1"/>
    </row>
    <row r="6" spans="1:29"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6"/>
      <c r="AC7" s="126"/>
    </row>
    <row r="8" spans="1:29" x14ac:dyDescent="0.25">
      <c r="A8" s="442" t="str">
        <f>'1. паспорт местоположение'!A9:C9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434" t="s">
        <v>6</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6"/>
      <c r="AC10" s="126"/>
    </row>
    <row r="11" spans="1:29" x14ac:dyDescent="0.25">
      <c r="A11" s="442" t="str">
        <f>'1. паспорт местоположение'!A12:C12</f>
        <v>N_21-0947</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row>
    <row r="13" spans="1:29" ht="16.5" customHeight="1" x14ac:dyDescent="0.3">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24"/>
      <c r="AC13" s="24"/>
    </row>
    <row r="14" spans="1:29" ht="36" customHeight="1" x14ac:dyDescent="0.25">
      <c r="A14" s="439" t="str">
        <f>'1. паспорт местоположение'!A15:C15</f>
        <v>Строительство ТП 15/0,4 кВ, 2-х ЛЭП 15 кВ от ЗРУ 15 кВ ПС 110 кВ О-10, ЛЭП 0,4 кВ, организация системы учета электроэнергии в г. Зеленоградске, п. Вишневое</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row>
    <row r="16" spans="1:29" x14ac:dyDescent="0.25">
      <c r="A16" s="522"/>
      <c r="B16" s="522"/>
      <c r="C16" s="522"/>
      <c r="D16" s="522"/>
      <c r="E16" s="522"/>
      <c r="F16" s="522"/>
      <c r="G16" s="522"/>
      <c r="H16" s="522"/>
      <c r="I16" s="522"/>
      <c r="J16" s="522"/>
      <c r="K16" s="522"/>
      <c r="L16" s="522"/>
      <c r="M16" s="522"/>
      <c r="N16" s="522"/>
      <c r="O16" s="522"/>
      <c r="P16" s="522"/>
      <c r="Q16" s="522"/>
      <c r="R16" s="522"/>
      <c r="S16" s="522"/>
      <c r="T16" s="522"/>
      <c r="U16" s="522"/>
      <c r="V16" s="522"/>
      <c r="W16" s="522"/>
      <c r="X16" s="522"/>
      <c r="Y16" s="522"/>
      <c r="Z16" s="522"/>
      <c r="AA16" s="522"/>
      <c r="AB16" s="522"/>
      <c r="AC16" s="522"/>
    </row>
    <row r="17" spans="1:32" x14ac:dyDescent="0.25">
      <c r="A17" s="16"/>
      <c r="AB17" s="16"/>
    </row>
    <row r="18" spans="1:32" x14ac:dyDescent="0.25">
      <c r="A18" s="523" t="s">
        <v>359</v>
      </c>
      <c r="B18" s="523"/>
      <c r="C18" s="523"/>
      <c r="D18" s="523"/>
      <c r="E18" s="523"/>
      <c r="F18" s="523"/>
      <c r="G18" s="523"/>
      <c r="H18" s="523"/>
      <c r="I18" s="523"/>
      <c r="J18" s="523"/>
      <c r="K18" s="523"/>
      <c r="L18" s="523"/>
      <c r="M18" s="523"/>
      <c r="N18" s="523"/>
      <c r="O18" s="523"/>
      <c r="P18" s="523"/>
      <c r="Q18" s="523"/>
      <c r="R18" s="523"/>
      <c r="S18" s="523"/>
      <c r="T18" s="523"/>
      <c r="U18" s="523"/>
      <c r="V18" s="523"/>
      <c r="W18" s="523"/>
      <c r="X18" s="523"/>
      <c r="Y18" s="523"/>
      <c r="Z18" s="523"/>
      <c r="AA18" s="523"/>
      <c r="AB18" s="523"/>
      <c r="AC18" s="523"/>
    </row>
    <row r="19" spans="1:32" x14ac:dyDescent="0.25">
      <c r="A19" s="16"/>
      <c r="B19" s="16"/>
      <c r="C19" s="16"/>
      <c r="D19" s="16"/>
      <c r="E19" s="16"/>
      <c r="F19" s="16"/>
      <c r="AB19" s="16"/>
    </row>
    <row r="20" spans="1:32" ht="33" customHeight="1" x14ac:dyDescent="0.25">
      <c r="A20" s="524" t="s">
        <v>181</v>
      </c>
      <c r="B20" s="524" t="s">
        <v>180</v>
      </c>
      <c r="C20" s="527" t="s">
        <v>179</v>
      </c>
      <c r="D20" s="527"/>
      <c r="E20" s="528" t="s">
        <v>178</v>
      </c>
      <c r="F20" s="528"/>
      <c r="G20" s="524" t="s">
        <v>637</v>
      </c>
      <c r="H20" s="520" t="s">
        <v>639</v>
      </c>
      <c r="I20" s="521"/>
      <c r="J20" s="521"/>
      <c r="K20" s="521"/>
      <c r="L20" s="520" t="s">
        <v>640</v>
      </c>
      <c r="M20" s="521"/>
      <c r="N20" s="521"/>
      <c r="O20" s="521"/>
      <c r="P20" s="520" t="s">
        <v>641</v>
      </c>
      <c r="Q20" s="521"/>
      <c r="R20" s="521"/>
      <c r="S20" s="521"/>
      <c r="T20" s="520" t="s">
        <v>642</v>
      </c>
      <c r="U20" s="521"/>
      <c r="V20" s="521"/>
      <c r="W20" s="521"/>
      <c r="X20" s="520" t="s">
        <v>643</v>
      </c>
      <c r="Y20" s="521"/>
      <c r="Z20" s="521"/>
      <c r="AA20" s="521"/>
      <c r="AB20" s="529" t="s">
        <v>177</v>
      </c>
      <c r="AC20" s="529"/>
      <c r="AD20" s="23"/>
      <c r="AE20" s="23"/>
      <c r="AF20" s="23"/>
    </row>
    <row r="21" spans="1:32" ht="99.75" customHeight="1" x14ac:dyDescent="0.25">
      <c r="A21" s="525"/>
      <c r="B21" s="525"/>
      <c r="C21" s="527"/>
      <c r="D21" s="527"/>
      <c r="E21" s="528"/>
      <c r="F21" s="528"/>
      <c r="G21" s="525"/>
      <c r="H21" s="519" t="s">
        <v>2</v>
      </c>
      <c r="I21" s="519"/>
      <c r="J21" s="519" t="s">
        <v>9</v>
      </c>
      <c r="K21" s="519"/>
      <c r="L21" s="519" t="s">
        <v>2</v>
      </c>
      <c r="M21" s="519"/>
      <c r="N21" s="519" t="s">
        <v>9</v>
      </c>
      <c r="O21" s="519"/>
      <c r="P21" s="519" t="s">
        <v>2</v>
      </c>
      <c r="Q21" s="519"/>
      <c r="R21" s="519" t="s">
        <v>9</v>
      </c>
      <c r="S21" s="519"/>
      <c r="T21" s="519" t="s">
        <v>2</v>
      </c>
      <c r="U21" s="519"/>
      <c r="V21" s="519" t="s">
        <v>9</v>
      </c>
      <c r="W21" s="519"/>
      <c r="X21" s="519" t="s">
        <v>2</v>
      </c>
      <c r="Y21" s="519"/>
      <c r="Z21" s="519" t="s">
        <v>9</v>
      </c>
      <c r="AA21" s="519"/>
      <c r="AB21" s="529"/>
      <c r="AC21" s="529"/>
    </row>
    <row r="22" spans="1:32" ht="89.25" customHeight="1" x14ac:dyDescent="0.25">
      <c r="A22" s="526"/>
      <c r="B22" s="526"/>
      <c r="C22" s="190" t="s">
        <v>2</v>
      </c>
      <c r="D22" s="190" t="s">
        <v>176</v>
      </c>
      <c r="E22" s="415" t="s">
        <v>638</v>
      </c>
      <c r="F22" s="415" t="s">
        <v>678</v>
      </c>
      <c r="G22" s="526"/>
      <c r="H22" s="416" t="s">
        <v>340</v>
      </c>
      <c r="I22" s="416" t="s">
        <v>341</v>
      </c>
      <c r="J22" s="416" t="s">
        <v>340</v>
      </c>
      <c r="K22" s="416" t="s">
        <v>341</v>
      </c>
      <c r="L22" s="416" t="s">
        <v>340</v>
      </c>
      <c r="M22" s="416" t="s">
        <v>341</v>
      </c>
      <c r="N22" s="416" t="s">
        <v>340</v>
      </c>
      <c r="O22" s="416" t="s">
        <v>341</v>
      </c>
      <c r="P22" s="416" t="s">
        <v>340</v>
      </c>
      <c r="Q22" s="416" t="s">
        <v>341</v>
      </c>
      <c r="R22" s="416" t="s">
        <v>340</v>
      </c>
      <c r="S22" s="416" t="s">
        <v>341</v>
      </c>
      <c r="T22" s="416" t="s">
        <v>340</v>
      </c>
      <c r="U22" s="416" t="s">
        <v>341</v>
      </c>
      <c r="V22" s="416" t="s">
        <v>340</v>
      </c>
      <c r="W22" s="416" t="s">
        <v>341</v>
      </c>
      <c r="X22" s="416" t="s">
        <v>340</v>
      </c>
      <c r="Y22" s="416" t="s">
        <v>341</v>
      </c>
      <c r="Z22" s="416" t="s">
        <v>340</v>
      </c>
      <c r="AA22" s="416" t="s">
        <v>341</v>
      </c>
      <c r="AB22" s="403" t="s">
        <v>2</v>
      </c>
      <c r="AC22" s="403" t="s">
        <v>9</v>
      </c>
    </row>
    <row r="23" spans="1:32" ht="19.5" customHeight="1" x14ac:dyDescent="0.25">
      <c r="A23" s="191">
        <v>1</v>
      </c>
      <c r="B23" s="191">
        <v>2</v>
      </c>
      <c r="C23" s="192">
        <f t="shared" ref="C23:K23" si="0">B23+1</f>
        <v>3</v>
      </c>
      <c r="D23" s="192">
        <f t="shared" si="0"/>
        <v>4</v>
      </c>
      <c r="E23" s="192">
        <f t="shared" si="0"/>
        <v>5</v>
      </c>
      <c r="F23" s="192">
        <f t="shared" si="0"/>
        <v>6</v>
      </c>
      <c r="G23" s="192">
        <f t="shared" si="0"/>
        <v>7</v>
      </c>
      <c r="H23" s="192">
        <f t="shared" si="0"/>
        <v>8</v>
      </c>
      <c r="I23" s="192">
        <f t="shared" si="0"/>
        <v>9</v>
      </c>
      <c r="J23" s="192">
        <f t="shared" si="0"/>
        <v>10</v>
      </c>
      <c r="K23" s="192">
        <f t="shared" si="0"/>
        <v>11</v>
      </c>
      <c r="L23" s="404">
        <f t="shared" ref="L23" si="1">K23+1</f>
        <v>12</v>
      </c>
      <c r="M23" s="404">
        <f t="shared" ref="M23" si="2">L23+1</f>
        <v>13</v>
      </c>
      <c r="N23" s="404">
        <f t="shared" ref="N23" si="3">M23+1</f>
        <v>14</v>
      </c>
      <c r="O23" s="404">
        <f t="shared" ref="O23" si="4">N23+1</f>
        <v>15</v>
      </c>
      <c r="P23" s="404">
        <f t="shared" ref="P23" si="5">O23+1</f>
        <v>16</v>
      </c>
      <c r="Q23" s="404">
        <f t="shared" ref="Q23" si="6">P23+1</f>
        <v>17</v>
      </c>
      <c r="R23" s="404">
        <f t="shared" ref="R23" si="7">Q23+1</f>
        <v>18</v>
      </c>
      <c r="S23" s="404">
        <f t="shared" ref="S23" si="8">R23+1</f>
        <v>19</v>
      </c>
      <c r="T23" s="404">
        <f t="shared" ref="T23" si="9">S23+1</f>
        <v>20</v>
      </c>
      <c r="U23" s="404">
        <f t="shared" ref="U23" si="10">T23+1</f>
        <v>21</v>
      </c>
      <c r="V23" s="404">
        <f t="shared" ref="V23" si="11">U23+1</f>
        <v>22</v>
      </c>
      <c r="W23" s="404">
        <f t="shared" ref="W23" si="12">V23+1</f>
        <v>23</v>
      </c>
      <c r="X23" s="404">
        <f t="shared" ref="X23" si="13">W23+1</f>
        <v>24</v>
      </c>
      <c r="Y23" s="404">
        <f t="shared" ref="Y23" si="14">X23+1</f>
        <v>25</v>
      </c>
      <c r="Z23" s="404">
        <f t="shared" ref="Z23" si="15">Y23+1</f>
        <v>26</v>
      </c>
      <c r="AA23" s="404">
        <f t="shared" ref="AA23" si="16">Z23+1</f>
        <v>27</v>
      </c>
      <c r="AB23" s="404">
        <f t="shared" ref="AB23" si="17">AA23+1</f>
        <v>28</v>
      </c>
      <c r="AC23" s="404">
        <f t="shared" ref="AC23" si="18">AB23+1</f>
        <v>29</v>
      </c>
    </row>
    <row r="24" spans="1:32" ht="47.25" customHeight="1" x14ac:dyDescent="0.25">
      <c r="A24" s="193">
        <v>1</v>
      </c>
      <c r="B24" s="194" t="s">
        <v>175</v>
      </c>
      <c r="C24" s="195">
        <f t="shared" ref="C24:H24" si="19">SUM(C25:C29)</f>
        <v>0</v>
      </c>
      <c r="D24" s="195">
        <f t="shared" si="19"/>
        <v>0</v>
      </c>
      <c r="E24" s="195">
        <f t="shared" si="19"/>
        <v>0</v>
      </c>
      <c r="F24" s="195">
        <f t="shared" si="19"/>
        <v>0</v>
      </c>
      <c r="G24" s="195">
        <f>SUM(G25:G29)</f>
        <v>16.530400010000001</v>
      </c>
      <c r="H24" s="195">
        <f t="shared" si="19"/>
        <v>0</v>
      </c>
      <c r="I24" s="195">
        <f t="shared" ref="I24" si="20">SUM(I25:I29)</f>
        <v>0</v>
      </c>
      <c r="J24" s="195">
        <f t="shared" ref="J24:K24" si="21">SUM(J25:J29)</f>
        <v>-0.69809603000000009</v>
      </c>
      <c r="K24" s="195">
        <f t="shared" si="21"/>
        <v>0</v>
      </c>
      <c r="L24" s="195">
        <f t="shared" ref="L24:AA24" si="22">SUM(L25:L29)</f>
        <v>0</v>
      </c>
      <c r="M24" s="195">
        <f t="shared" si="22"/>
        <v>0</v>
      </c>
      <c r="N24" s="195">
        <f t="shared" si="22"/>
        <v>0.77398538000000006</v>
      </c>
      <c r="O24" s="195">
        <f t="shared" si="22"/>
        <v>0.77398538000000006</v>
      </c>
      <c r="P24" s="195">
        <f t="shared" si="22"/>
        <v>0</v>
      </c>
      <c r="Q24" s="195">
        <f t="shared" si="22"/>
        <v>0</v>
      </c>
      <c r="R24" s="195">
        <f t="shared" si="22"/>
        <v>0</v>
      </c>
      <c r="S24" s="195">
        <f t="shared" si="22"/>
        <v>0</v>
      </c>
      <c r="T24" s="195">
        <f t="shared" si="22"/>
        <v>0</v>
      </c>
      <c r="U24" s="195">
        <f t="shared" si="22"/>
        <v>0</v>
      </c>
      <c r="V24" s="195">
        <f t="shared" si="22"/>
        <v>0</v>
      </c>
      <c r="W24" s="195">
        <f t="shared" si="22"/>
        <v>0</v>
      </c>
      <c r="X24" s="195">
        <f t="shared" si="22"/>
        <v>0</v>
      </c>
      <c r="Y24" s="195">
        <f t="shared" si="22"/>
        <v>0</v>
      </c>
      <c r="Z24" s="195">
        <f t="shared" si="22"/>
        <v>0</v>
      </c>
      <c r="AA24" s="195">
        <f t="shared" si="22"/>
        <v>0</v>
      </c>
      <c r="AB24" s="414">
        <f>H24+L24+P24+T24+X24</f>
        <v>0</v>
      </c>
      <c r="AC24" s="414">
        <f>J24+N24+R24+V24+Z24</f>
        <v>7.5889349999999967E-2</v>
      </c>
      <c r="AE24" s="333">
        <f>G24+AC24</f>
        <v>16.606289360000002</v>
      </c>
    </row>
    <row r="25" spans="1:32" ht="24" customHeight="1" x14ac:dyDescent="0.25">
      <c r="A25" s="197" t="s">
        <v>174</v>
      </c>
      <c r="B25" s="198" t="s">
        <v>173</v>
      </c>
      <c r="C25" s="199">
        <v>0</v>
      </c>
      <c r="D25" s="199">
        <v>0</v>
      </c>
      <c r="E25" s="199">
        <v>0</v>
      </c>
      <c r="F25" s="199">
        <v>0</v>
      </c>
      <c r="G25" s="199">
        <v>0</v>
      </c>
      <c r="H25" s="199">
        <v>0</v>
      </c>
      <c r="I25" s="199">
        <v>0</v>
      </c>
      <c r="J25" s="199">
        <v>0</v>
      </c>
      <c r="K25" s="199">
        <v>0</v>
      </c>
      <c r="L25" s="199">
        <v>0</v>
      </c>
      <c r="M25" s="199">
        <v>0</v>
      </c>
      <c r="N25" s="199">
        <v>0</v>
      </c>
      <c r="O25" s="199">
        <v>0</v>
      </c>
      <c r="P25" s="199">
        <v>0</v>
      </c>
      <c r="Q25" s="199">
        <v>0</v>
      </c>
      <c r="R25" s="199">
        <v>0</v>
      </c>
      <c r="S25" s="199">
        <v>0</v>
      </c>
      <c r="T25" s="199">
        <v>0</v>
      </c>
      <c r="U25" s="199">
        <v>0</v>
      </c>
      <c r="V25" s="199">
        <v>0</v>
      </c>
      <c r="W25" s="199">
        <v>0</v>
      </c>
      <c r="X25" s="199">
        <v>0</v>
      </c>
      <c r="Y25" s="199">
        <v>0</v>
      </c>
      <c r="Z25" s="199">
        <v>0</v>
      </c>
      <c r="AA25" s="199">
        <v>0</v>
      </c>
      <c r="AB25" s="414">
        <f t="shared" ref="AB25:AB64" si="23">H25+L25+P25+T25+X25</f>
        <v>0</v>
      </c>
      <c r="AC25" s="414">
        <f t="shared" ref="AC25:AC64" si="24">J25+N25+R25+V25+Z25</f>
        <v>0</v>
      </c>
    </row>
    <row r="26" spans="1:32" x14ac:dyDescent="0.25">
      <c r="A26" s="197" t="s">
        <v>172</v>
      </c>
      <c r="B26" s="198" t="s">
        <v>171</v>
      </c>
      <c r="C26" s="199">
        <v>0</v>
      </c>
      <c r="D26" s="199">
        <v>0</v>
      </c>
      <c r="E26" s="199">
        <v>0</v>
      </c>
      <c r="F26" s="199">
        <v>0</v>
      </c>
      <c r="G26" s="199">
        <v>0</v>
      </c>
      <c r="H26" s="199">
        <v>0</v>
      </c>
      <c r="I26" s="199">
        <v>0</v>
      </c>
      <c r="J26" s="199">
        <v>0</v>
      </c>
      <c r="K26" s="199">
        <v>0</v>
      </c>
      <c r="L26" s="199">
        <v>0</v>
      </c>
      <c r="M26" s="199">
        <v>0</v>
      </c>
      <c r="N26" s="199">
        <v>0</v>
      </c>
      <c r="O26" s="199">
        <v>0</v>
      </c>
      <c r="P26" s="199">
        <v>0</v>
      </c>
      <c r="Q26" s="199">
        <v>0</v>
      </c>
      <c r="R26" s="199">
        <v>0</v>
      </c>
      <c r="S26" s="199">
        <v>0</v>
      </c>
      <c r="T26" s="199">
        <v>0</v>
      </c>
      <c r="U26" s="199">
        <v>0</v>
      </c>
      <c r="V26" s="199">
        <v>0</v>
      </c>
      <c r="W26" s="199">
        <v>0</v>
      </c>
      <c r="X26" s="199">
        <v>0</v>
      </c>
      <c r="Y26" s="199">
        <v>0</v>
      </c>
      <c r="Z26" s="199">
        <v>0</v>
      </c>
      <c r="AA26" s="199">
        <v>0</v>
      </c>
      <c r="AB26" s="414">
        <f t="shared" si="23"/>
        <v>0</v>
      </c>
      <c r="AC26" s="414">
        <f t="shared" si="24"/>
        <v>0</v>
      </c>
    </row>
    <row r="27" spans="1:32" ht="31.5" x14ac:dyDescent="0.25">
      <c r="A27" s="197" t="s">
        <v>170</v>
      </c>
      <c r="B27" s="198" t="s">
        <v>321</v>
      </c>
      <c r="C27" s="199">
        <v>0</v>
      </c>
      <c r="D27" s="199">
        <v>0</v>
      </c>
      <c r="E27" s="199">
        <v>0</v>
      </c>
      <c r="F27" s="199">
        <v>0</v>
      </c>
      <c r="G27" s="199">
        <v>0</v>
      </c>
      <c r="H27" s="199">
        <v>0</v>
      </c>
      <c r="I27" s="199">
        <v>0</v>
      </c>
      <c r="J27" s="199">
        <v>0</v>
      </c>
      <c r="K27" s="199">
        <v>0</v>
      </c>
      <c r="L27" s="199">
        <v>0</v>
      </c>
      <c r="M27" s="199">
        <v>0</v>
      </c>
      <c r="N27" s="199">
        <v>0</v>
      </c>
      <c r="O27" s="199">
        <v>0</v>
      </c>
      <c r="P27" s="199">
        <v>0</v>
      </c>
      <c r="Q27" s="199">
        <v>0</v>
      </c>
      <c r="R27" s="199">
        <v>0</v>
      </c>
      <c r="S27" s="199">
        <v>0</v>
      </c>
      <c r="T27" s="199">
        <v>0</v>
      </c>
      <c r="U27" s="199">
        <v>0</v>
      </c>
      <c r="V27" s="199">
        <v>0</v>
      </c>
      <c r="W27" s="199">
        <v>0</v>
      </c>
      <c r="X27" s="199">
        <v>0</v>
      </c>
      <c r="Y27" s="199">
        <v>0</v>
      </c>
      <c r="Z27" s="199">
        <v>0</v>
      </c>
      <c r="AA27" s="199">
        <v>0</v>
      </c>
      <c r="AB27" s="414">
        <f t="shared" si="23"/>
        <v>0</v>
      </c>
      <c r="AC27" s="414">
        <f t="shared" si="24"/>
        <v>0</v>
      </c>
    </row>
    <row r="28" spans="1:32" x14ac:dyDescent="0.25">
      <c r="A28" s="197" t="s">
        <v>169</v>
      </c>
      <c r="B28" s="198" t="s">
        <v>398</v>
      </c>
      <c r="C28" s="199">
        <v>0</v>
      </c>
      <c r="D28" s="199">
        <v>0</v>
      </c>
      <c r="E28" s="199">
        <v>0</v>
      </c>
      <c r="F28" s="199">
        <v>0</v>
      </c>
      <c r="G28" s="199">
        <v>16.530400010000001</v>
      </c>
      <c r="H28" s="199">
        <v>0</v>
      </c>
      <c r="I28" s="199">
        <v>0</v>
      </c>
      <c r="J28" s="199">
        <v>-0.69809603000000009</v>
      </c>
      <c r="K28" s="199">
        <v>0</v>
      </c>
      <c r="L28" s="199">
        <v>0</v>
      </c>
      <c r="M28" s="199">
        <v>0</v>
      </c>
      <c r="N28" s="199">
        <v>0.77398538000000006</v>
      </c>
      <c r="O28" s="199">
        <v>0.77398538000000006</v>
      </c>
      <c r="P28" s="199">
        <v>0</v>
      </c>
      <c r="Q28" s="199">
        <v>0</v>
      </c>
      <c r="R28" s="199">
        <v>0</v>
      </c>
      <c r="S28" s="199">
        <v>0</v>
      </c>
      <c r="T28" s="199">
        <v>0</v>
      </c>
      <c r="U28" s="199">
        <v>0</v>
      </c>
      <c r="V28" s="199">
        <v>0</v>
      </c>
      <c r="W28" s="199">
        <v>0</v>
      </c>
      <c r="X28" s="199">
        <v>0</v>
      </c>
      <c r="Y28" s="199">
        <v>0</v>
      </c>
      <c r="Z28" s="199">
        <v>0</v>
      </c>
      <c r="AA28" s="199">
        <v>0</v>
      </c>
      <c r="AB28" s="414">
        <f t="shared" si="23"/>
        <v>0</v>
      </c>
      <c r="AC28" s="414">
        <f t="shared" si="24"/>
        <v>7.5889349999999967E-2</v>
      </c>
      <c r="AE28" s="428"/>
    </row>
    <row r="29" spans="1:32" x14ac:dyDescent="0.25">
      <c r="A29" s="197" t="s">
        <v>168</v>
      </c>
      <c r="B29" s="22" t="s">
        <v>167</v>
      </c>
      <c r="C29" s="199">
        <v>0</v>
      </c>
      <c r="D29" s="199">
        <v>0</v>
      </c>
      <c r="E29" s="199">
        <v>0</v>
      </c>
      <c r="F29" s="199">
        <v>0</v>
      </c>
      <c r="G29" s="199">
        <v>0</v>
      </c>
      <c r="H29" s="199">
        <v>0</v>
      </c>
      <c r="I29" s="199">
        <v>0</v>
      </c>
      <c r="J29" s="199">
        <v>0</v>
      </c>
      <c r="K29" s="199">
        <v>0</v>
      </c>
      <c r="L29" s="199">
        <v>0</v>
      </c>
      <c r="M29" s="199">
        <v>0</v>
      </c>
      <c r="N29" s="199">
        <v>0</v>
      </c>
      <c r="O29" s="199">
        <v>0</v>
      </c>
      <c r="P29" s="199">
        <v>0</v>
      </c>
      <c r="Q29" s="199">
        <v>0</v>
      </c>
      <c r="R29" s="199">
        <v>0</v>
      </c>
      <c r="S29" s="199">
        <v>0</v>
      </c>
      <c r="T29" s="199">
        <v>0</v>
      </c>
      <c r="U29" s="199">
        <v>0</v>
      </c>
      <c r="V29" s="199">
        <v>0</v>
      </c>
      <c r="W29" s="199">
        <v>0</v>
      </c>
      <c r="X29" s="199">
        <v>0</v>
      </c>
      <c r="Y29" s="199">
        <v>0</v>
      </c>
      <c r="Z29" s="199">
        <v>0</v>
      </c>
      <c r="AA29" s="199">
        <v>0</v>
      </c>
      <c r="AB29" s="414">
        <f t="shared" si="23"/>
        <v>0</v>
      </c>
      <c r="AC29" s="414">
        <f t="shared" si="24"/>
        <v>0</v>
      </c>
    </row>
    <row r="30" spans="1:32" s="53" customFormat="1" ht="47.25" x14ac:dyDescent="0.25">
      <c r="A30" s="193" t="s">
        <v>61</v>
      </c>
      <c r="B30" s="194" t="s">
        <v>166</v>
      </c>
      <c r="C30" s="196">
        <f t="shared" ref="C30:H30" si="25">SUM(C31:C34)</f>
        <v>0</v>
      </c>
      <c r="D30" s="196">
        <f t="shared" si="25"/>
        <v>0</v>
      </c>
      <c r="E30" s="196">
        <f t="shared" si="25"/>
        <v>0</v>
      </c>
      <c r="F30" s="196">
        <f t="shared" si="25"/>
        <v>0</v>
      </c>
      <c r="G30" s="196">
        <f t="shared" si="25"/>
        <v>13.77533334</v>
      </c>
      <c r="H30" s="196">
        <f t="shared" si="25"/>
        <v>0</v>
      </c>
      <c r="I30" s="196">
        <f t="shared" ref="I30" si="26">SUM(I31:I34)</f>
        <v>0</v>
      </c>
      <c r="J30" s="196">
        <f t="shared" ref="J30:K30" si="27">SUM(J31:J34)</f>
        <v>7.6850119999999952E-2</v>
      </c>
      <c r="K30" s="196">
        <f t="shared" si="27"/>
        <v>0</v>
      </c>
      <c r="L30" s="196">
        <f t="shared" ref="L30:AA30" si="28">SUM(L31:L34)</f>
        <v>0</v>
      </c>
      <c r="M30" s="196">
        <f t="shared" si="28"/>
        <v>0</v>
      </c>
      <c r="N30" s="196">
        <f t="shared" si="28"/>
        <v>0</v>
      </c>
      <c r="O30" s="196">
        <f t="shared" si="28"/>
        <v>0</v>
      </c>
      <c r="P30" s="196">
        <f t="shared" si="28"/>
        <v>0</v>
      </c>
      <c r="Q30" s="196">
        <f t="shared" si="28"/>
        <v>0</v>
      </c>
      <c r="R30" s="196">
        <f t="shared" si="28"/>
        <v>0</v>
      </c>
      <c r="S30" s="196">
        <f t="shared" si="28"/>
        <v>0</v>
      </c>
      <c r="T30" s="196">
        <f t="shared" si="28"/>
        <v>0</v>
      </c>
      <c r="U30" s="196">
        <f t="shared" si="28"/>
        <v>0</v>
      </c>
      <c r="V30" s="196">
        <f t="shared" si="28"/>
        <v>0</v>
      </c>
      <c r="W30" s="196">
        <f t="shared" si="28"/>
        <v>0</v>
      </c>
      <c r="X30" s="196">
        <f t="shared" si="28"/>
        <v>0</v>
      </c>
      <c r="Y30" s="196">
        <f t="shared" si="28"/>
        <v>0</v>
      </c>
      <c r="Z30" s="196">
        <f t="shared" si="28"/>
        <v>0</v>
      </c>
      <c r="AA30" s="196">
        <f t="shared" si="28"/>
        <v>0</v>
      </c>
      <c r="AB30" s="414">
        <f t="shared" si="23"/>
        <v>0</v>
      </c>
      <c r="AC30" s="414">
        <f t="shared" si="24"/>
        <v>7.6850119999999952E-2</v>
      </c>
      <c r="AE30" s="333">
        <f>G30+AC30</f>
        <v>13.852183459999999</v>
      </c>
    </row>
    <row r="31" spans="1:32" x14ac:dyDescent="0.25">
      <c r="A31" s="193" t="s">
        <v>165</v>
      </c>
      <c r="B31" s="198" t="s">
        <v>164</v>
      </c>
      <c r="C31" s="199">
        <v>0</v>
      </c>
      <c r="D31" s="199">
        <v>0</v>
      </c>
      <c r="E31" s="199">
        <v>0</v>
      </c>
      <c r="F31" s="199">
        <v>0</v>
      </c>
      <c r="G31" s="199">
        <v>0</v>
      </c>
      <c r="H31" s="199">
        <v>0</v>
      </c>
      <c r="I31" s="199">
        <v>0</v>
      </c>
      <c r="J31" s="199">
        <v>0.64498781999999999</v>
      </c>
      <c r="K31" s="199">
        <v>0</v>
      </c>
      <c r="L31" s="199">
        <v>0</v>
      </c>
      <c r="M31" s="199">
        <v>0</v>
      </c>
      <c r="N31" s="199">
        <v>0</v>
      </c>
      <c r="O31" s="199">
        <v>0</v>
      </c>
      <c r="P31" s="199">
        <v>0</v>
      </c>
      <c r="Q31" s="199">
        <v>0</v>
      </c>
      <c r="R31" s="199">
        <v>0</v>
      </c>
      <c r="S31" s="199">
        <v>0</v>
      </c>
      <c r="T31" s="199">
        <v>0</v>
      </c>
      <c r="U31" s="199">
        <v>0</v>
      </c>
      <c r="V31" s="199">
        <v>0</v>
      </c>
      <c r="W31" s="199">
        <v>0</v>
      </c>
      <c r="X31" s="199">
        <v>0</v>
      </c>
      <c r="Y31" s="199">
        <v>0</v>
      </c>
      <c r="Z31" s="199">
        <v>0</v>
      </c>
      <c r="AA31" s="199">
        <v>0</v>
      </c>
      <c r="AB31" s="414">
        <f t="shared" si="23"/>
        <v>0</v>
      </c>
      <c r="AC31" s="414">
        <f t="shared" si="24"/>
        <v>0.64498781999999999</v>
      </c>
      <c r="AF31" s="333"/>
    </row>
    <row r="32" spans="1:32" ht="31.5" x14ac:dyDescent="0.25">
      <c r="A32" s="193" t="s">
        <v>163</v>
      </c>
      <c r="B32" s="198" t="s">
        <v>162</v>
      </c>
      <c r="C32" s="199">
        <v>0</v>
      </c>
      <c r="D32" s="199">
        <v>0</v>
      </c>
      <c r="E32" s="199">
        <v>0</v>
      </c>
      <c r="F32" s="199">
        <v>0</v>
      </c>
      <c r="G32" s="199">
        <v>0</v>
      </c>
      <c r="H32" s="199">
        <v>0</v>
      </c>
      <c r="I32" s="199">
        <v>0</v>
      </c>
      <c r="J32" s="199">
        <v>0</v>
      </c>
      <c r="K32" s="199">
        <v>0</v>
      </c>
      <c r="L32" s="199">
        <v>0</v>
      </c>
      <c r="M32" s="199">
        <v>0</v>
      </c>
      <c r="N32" s="199">
        <v>0</v>
      </c>
      <c r="O32" s="199">
        <v>0</v>
      </c>
      <c r="P32" s="199">
        <v>0</v>
      </c>
      <c r="Q32" s="199">
        <v>0</v>
      </c>
      <c r="R32" s="199">
        <v>0</v>
      </c>
      <c r="S32" s="199">
        <v>0</v>
      </c>
      <c r="T32" s="199">
        <v>0</v>
      </c>
      <c r="U32" s="199">
        <v>0</v>
      </c>
      <c r="V32" s="199">
        <v>0</v>
      </c>
      <c r="W32" s="199">
        <v>0</v>
      </c>
      <c r="X32" s="199">
        <v>0</v>
      </c>
      <c r="Y32" s="199">
        <v>0</v>
      </c>
      <c r="Z32" s="199">
        <v>0</v>
      </c>
      <c r="AA32" s="199">
        <v>0</v>
      </c>
      <c r="AB32" s="414">
        <f t="shared" si="23"/>
        <v>0</v>
      </c>
      <c r="AC32" s="414">
        <f t="shared" si="24"/>
        <v>0</v>
      </c>
    </row>
    <row r="33" spans="1:29" x14ac:dyDescent="0.25">
      <c r="A33" s="193" t="s">
        <v>161</v>
      </c>
      <c r="B33" s="198" t="s">
        <v>160</v>
      </c>
      <c r="C33" s="199">
        <v>0</v>
      </c>
      <c r="D33" s="199">
        <v>0</v>
      </c>
      <c r="E33" s="199">
        <v>0</v>
      </c>
      <c r="F33" s="199">
        <v>0</v>
      </c>
      <c r="G33" s="199">
        <v>13.77533334</v>
      </c>
      <c r="H33" s="199">
        <v>0</v>
      </c>
      <c r="I33" s="199">
        <v>0</v>
      </c>
      <c r="J33" s="199">
        <v>-0.64979167000000004</v>
      </c>
      <c r="K33" s="199">
        <v>0</v>
      </c>
      <c r="L33" s="199">
        <v>0</v>
      </c>
      <c r="M33" s="199">
        <v>0</v>
      </c>
      <c r="N33" s="199">
        <v>0</v>
      </c>
      <c r="O33" s="199">
        <v>0</v>
      </c>
      <c r="P33" s="199">
        <v>0</v>
      </c>
      <c r="Q33" s="199">
        <v>0</v>
      </c>
      <c r="R33" s="199">
        <v>0</v>
      </c>
      <c r="S33" s="199">
        <v>0</v>
      </c>
      <c r="T33" s="199">
        <v>0</v>
      </c>
      <c r="U33" s="199">
        <v>0</v>
      </c>
      <c r="V33" s="199">
        <v>0</v>
      </c>
      <c r="W33" s="199">
        <v>0</v>
      </c>
      <c r="X33" s="199">
        <v>0</v>
      </c>
      <c r="Y33" s="199">
        <v>0</v>
      </c>
      <c r="Z33" s="199">
        <v>0</v>
      </c>
      <c r="AA33" s="199">
        <v>0</v>
      </c>
      <c r="AB33" s="414">
        <f t="shared" si="23"/>
        <v>0</v>
      </c>
      <c r="AC33" s="414">
        <f t="shared" si="24"/>
        <v>-0.64979167000000004</v>
      </c>
    </row>
    <row r="34" spans="1:29" x14ac:dyDescent="0.25">
      <c r="A34" s="193" t="s">
        <v>159</v>
      </c>
      <c r="B34" s="198" t="s">
        <v>158</v>
      </c>
      <c r="C34" s="199">
        <v>0</v>
      </c>
      <c r="D34" s="199">
        <v>0</v>
      </c>
      <c r="E34" s="199">
        <v>0</v>
      </c>
      <c r="F34" s="199">
        <v>0</v>
      </c>
      <c r="G34" s="199">
        <v>0</v>
      </c>
      <c r="H34" s="199">
        <v>0</v>
      </c>
      <c r="I34" s="199">
        <v>0</v>
      </c>
      <c r="J34" s="199">
        <v>8.1653970000000006E-2</v>
      </c>
      <c r="K34" s="199">
        <v>0</v>
      </c>
      <c r="L34" s="199">
        <v>0</v>
      </c>
      <c r="M34" s="199">
        <v>0</v>
      </c>
      <c r="N34" s="199">
        <v>0</v>
      </c>
      <c r="O34" s="199">
        <v>0</v>
      </c>
      <c r="P34" s="199">
        <v>0</v>
      </c>
      <c r="Q34" s="199">
        <v>0</v>
      </c>
      <c r="R34" s="199">
        <v>0</v>
      </c>
      <c r="S34" s="199">
        <v>0</v>
      </c>
      <c r="T34" s="199">
        <v>0</v>
      </c>
      <c r="U34" s="199">
        <v>0</v>
      </c>
      <c r="V34" s="199">
        <v>0</v>
      </c>
      <c r="W34" s="199">
        <v>0</v>
      </c>
      <c r="X34" s="199">
        <v>0</v>
      </c>
      <c r="Y34" s="199">
        <v>0</v>
      </c>
      <c r="Z34" s="199">
        <v>0</v>
      </c>
      <c r="AA34" s="199">
        <v>0</v>
      </c>
      <c r="AB34" s="414">
        <f t="shared" si="23"/>
        <v>0</v>
      </c>
      <c r="AC34" s="414">
        <f t="shared" si="24"/>
        <v>8.1653970000000006E-2</v>
      </c>
    </row>
    <row r="35" spans="1:29" s="53" customFormat="1" ht="31.5" x14ac:dyDescent="0.25">
      <c r="A35" s="193" t="s">
        <v>60</v>
      </c>
      <c r="B35" s="194" t="s">
        <v>157</v>
      </c>
      <c r="C35" s="196">
        <v>0</v>
      </c>
      <c r="D35" s="196">
        <v>0</v>
      </c>
      <c r="E35" s="196">
        <v>0</v>
      </c>
      <c r="F35" s="196">
        <v>0</v>
      </c>
      <c r="G35" s="196">
        <v>0</v>
      </c>
      <c r="H35" s="196">
        <v>0</v>
      </c>
      <c r="I35" s="196">
        <v>0</v>
      </c>
      <c r="J35" s="196">
        <v>0</v>
      </c>
      <c r="K35" s="196">
        <v>0</v>
      </c>
      <c r="L35" s="196">
        <v>0</v>
      </c>
      <c r="M35" s="196">
        <v>0</v>
      </c>
      <c r="N35" s="196">
        <v>0</v>
      </c>
      <c r="O35" s="196">
        <v>0</v>
      </c>
      <c r="P35" s="196">
        <v>0</v>
      </c>
      <c r="Q35" s="196">
        <v>0</v>
      </c>
      <c r="R35" s="196">
        <v>0</v>
      </c>
      <c r="S35" s="196">
        <v>0</v>
      </c>
      <c r="T35" s="196">
        <v>0</v>
      </c>
      <c r="U35" s="196">
        <v>0</v>
      </c>
      <c r="V35" s="196">
        <v>0</v>
      </c>
      <c r="W35" s="196">
        <v>0</v>
      </c>
      <c r="X35" s="196">
        <v>0</v>
      </c>
      <c r="Y35" s="196">
        <v>0</v>
      </c>
      <c r="Z35" s="196">
        <v>0</v>
      </c>
      <c r="AA35" s="196">
        <v>0</v>
      </c>
      <c r="AB35" s="414">
        <f t="shared" si="23"/>
        <v>0</v>
      </c>
      <c r="AC35" s="414">
        <f t="shared" si="24"/>
        <v>0</v>
      </c>
    </row>
    <row r="36" spans="1:29" ht="31.5" x14ac:dyDescent="0.25">
      <c r="A36" s="197" t="s">
        <v>156</v>
      </c>
      <c r="B36" s="200" t="s">
        <v>155</v>
      </c>
      <c r="C36" s="199">
        <v>0</v>
      </c>
      <c r="D36" s="199">
        <v>0</v>
      </c>
      <c r="E36" s="199">
        <v>0</v>
      </c>
      <c r="F36" s="199">
        <v>0</v>
      </c>
      <c r="G36" s="199">
        <v>0</v>
      </c>
      <c r="H36" s="199">
        <v>0</v>
      </c>
      <c r="I36" s="199">
        <v>0</v>
      </c>
      <c r="J36" s="199">
        <v>0</v>
      </c>
      <c r="K36" s="199">
        <v>0</v>
      </c>
      <c r="L36" s="199">
        <v>0</v>
      </c>
      <c r="M36" s="199">
        <v>0</v>
      </c>
      <c r="N36" s="199">
        <v>0</v>
      </c>
      <c r="O36" s="199">
        <v>0</v>
      </c>
      <c r="P36" s="199">
        <v>0</v>
      </c>
      <c r="Q36" s="199">
        <v>0</v>
      </c>
      <c r="R36" s="199">
        <v>0</v>
      </c>
      <c r="S36" s="199">
        <v>0</v>
      </c>
      <c r="T36" s="199">
        <v>0</v>
      </c>
      <c r="U36" s="199">
        <v>0</v>
      </c>
      <c r="V36" s="199">
        <v>0</v>
      </c>
      <c r="W36" s="199">
        <v>0</v>
      </c>
      <c r="X36" s="199">
        <v>0</v>
      </c>
      <c r="Y36" s="199">
        <v>0</v>
      </c>
      <c r="Z36" s="199">
        <v>0</v>
      </c>
      <c r="AA36" s="199">
        <v>0</v>
      </c>
      <c r="AB36" s="414">
        <f t="shared" si="23"/>
        <v>0</v>
      </c>
      <c r="AC36" s="414">
        <f t="shared" si="24"/>
        <v>0</v>
      </c>
    </row>
    <row r="37" spans="1:29" x14ac:dyDescent="0.25">
      <c r="A37" s="197" t="s">
        <v>154</v>
      </c>
      <c r="B37" s="200" t="s">
        <v>144</v>
      </c>
      <c r="C37" s="199">
        <v>0</v>
      </c>
      <c r="D37" s="199">
        <v>0</v>
      </c>
      <c r="E37" s="199">
        <v>0</v>
      </c>
      <c r="F37" s="199">
        <v>0</v>
      </c>
      <c r="G37" s="199">
        <v>0</v>
      </c>
      <c r="H37" s="199">
        <v>0</v>
      </c>
      <c r="I37" s="199">
        <v>0</v>
      </c>
      <c r="J37" s="199">
        <v>0</v>
      </c>
      <c r="K37" s="199">
        <v>0</v>
      </c>
      <c r="L37" s="199">
        <v>0</v>
      </c>
      <c r="M37" s="199">
        <v>0</v>
      </c>
      <c r="N37" s="199">
        <v>0</v>
      </c>
      <c r="O37" s="199">
        <v>0</v>
      </c>
      <c r="P37" s="199">
        <v>0</v>
      </c>
      <c r="Q37" s="199">
        <v>0</v>
      </c>
      <c r="R37" s="199">
        <v>0</v>
      </c>
      <c r="S37" s="199">
        <v>0</v>
      </c>
      <c r="T37" s="199">
        <v>0</v>
      </c>
      <c r="U37" s="199">
        <v>0</v>
      </c>
      <c r="V37" s="199">
        <v>0</v>
      </c>
      <c r="W37" s="199">
        <v>0</v>
      </c>
      <c r="X37" s="199">
        <v>0</v>
      </c>
      <c r="Y37" s="199">
        <v>0</v>
      </c>
      <c r="Z37" s="199">
        <v>0</v>
      </c>
      <c r="AA37" s="199">
        <v>0</v>
      </c>
      <c r="AB37" s="414">
        <f t="shared" si="23"/>
        <v>0</v>
      </c>
      <c r="AC37" s="414">
        <f t="shared" si="24"/>
        <v>0</v>
      </c>
    </row>
    <row r="38" spans="1:29" x14ac:dyDescent="0.25">
      <c r="A38" s="197" t="s">
        <v>153</v>
      </c>
      <c r="B38" s="200" t="s">
        <v>142</v>
      </c>
      <c r="C38" s="199">
        <v>0</v>
      </c>
      <c r="D38" s="199">
        <v>0</v>
      </c>
      <c r="E38" s="199">
        <v>0</v>
      </c>
      <c r="F38" s="199">
        <v>0</v>
      </c>
      <c r="G38" s="199">
        <v>0</v>
      </c>
      <c r="H38" s="199">
        <v>0</v>
      </c>
      <c r="I38" s="199">
        <v>0</v>
      </c>
      <c r="J38" s="199">
        <v>0</v>
      </c>
      <c r="K38" s="199">
        <v>0</v>
      </c>
      <c r="L38" s="199">
        <v>0</v>
      </c>
      <c r="M38" s="199">
        <v>0</v>
      </c>
      <c r="N38" s="199">
        <v>0</v>
      </c>
      <c r="O38" s="199">
        <v>0</v>
      </c>
      <c r="P38" s="199">
        <v>0</v>
      </c>
      <c r="Q38" s="199">
        <v>0</v>
      </c>
      <c r="R38" s="199">
        <v>0</v>
      </c>
      <c r="S38" s="199">
        <v>0</v>
      </c>
      <c r="T38" s="199">
        <v>0</v>
      </c>
      <c r="U38" s="199">
        <v>0</v>
      </c>
      <c r="V38" s="199">
        <v>0</v>
      </c>
      <c r="W38" s="199">
        <v>0</v>
      </c>
      <c r="X38" s="199">
        <v>0</v>
      </c>
      <c r="Y38" s="199">
        <v>0</v>
      </c>
      <c r="Z38" s="199">
        <v>0</v>
      </c>
      <c r="AA38" s="199">
        <v>0</v>
      </c>
      <c r="AB38" s="414">
        <f t="shared" si="23"/>
        <v>0</v>
      </c>
      <c r="AC38" s="414">
        <f t="shared" si="24"/>
        <v>0</v>
      </c>
    </row>
    <row r="39" spans="1:29" ht="31.5" x14ac:dyDescent="0.25">
      <c r="A39" s="197" t="s">
        <v>152</v>
      </c>
      <c r="B39" s="198" t="s">
        <v>140</v>
      </c>
      <c r="C39" s="199">
        <v>0</v>
      </c>
      <c r="D39" s="199">
        <v>0</v>
      </c>
      <c r="E39" s="199">
        <v>0</v>
      </c>
      <c r="F39" s="199">
        <v>0</v>
      </c>
      <c r="G39" s="199">
        <v>0</v>
      </c>
      <c r="H39" s="199">
        <v>0</v>
      </c>
      <c r="I39" s="199">
        <v>0</v>
      </c>
      <c r="J39" s="199">
        <v>0</v>
      </c>
      <c r="K39" s="199">
        <v>0</v>
      </c>
      <c r="L39" s="199">
        <v>0</v>
      </c>
      <c r="M39" s="199">
        <v>0</v>
      </c>
      <c r="N39" s="199">
        <v>0</v>
      </c>
      <c r="O39" s="199">
        <v>0</v>
      </c>
      <c r="P39" s="199">
        <v>0</v>
      </c>
      <c r="Q39" s="199">
        <v>0</v>
      </c>
      <c r="R39" s="199">
        <v>0</v>
      </c>
      <c r="S39" s="199">
        <v>0</v>
      </c>
      <c r="T39" s="199">
        <v>0</v>
      </c>
      <c r="U39" s="199">
        <v>0</v>
      </c>
      <c r="V39" s="199">
        <v>0</v>
      </c>
      <c r="W39" s="199">
        <v>0</v>
      </c>
      <c r="X39" s="199">
        <v>0</v>
      </c>
      <c r="Y39" s="199">
        <v>0</v>
      </c>
      <c r="Z39" s="199">
        <v>0</v>
      </c>
      <c r="AA39" s="199">
        <v>0</v>
      </c>
      <c r="AB39" s="414">
        <f t="shared" si="23"/>
        <v>0</v>
      </c>
      <c r="AC39" s="414">
        <f t="shared" si="24"/>
        <v>0</v>
      </c>
    </row>
    <row r="40" spans="1:29" ht="31.5" x14ac:dyDescent="0.25">
      <c r="A40" s="197" t="s">
        <v>151</v>
      </c>
      <c r="B40" s="198" t="s">
        <v>138</v>
      </c>
      <c r="C40" s="199">
        <v>0</v>
      </c>
      <c r="D40" s="199">
        <v>0</v>
      </c>
      <c r="E40" s="199">
        <v>0</v>
      </c>
      <c r="F40" s="199">
        <v>0</v>
      </c>
      <c r="G40" s="199">
        <v>0</v>
      </c>
      <c r="H40" s="199">
        <v>0</v>
      </c>
      <c r="I40" s="199">
        <v>0</v>
      </c>
      <c r="J40" s="199">
        <v>0</v>
      </c>
      <c r="K40" s="199">
        <v>0</v>
      </c>
      <c r="L40" s="199">
        <v>0</v>
      </c>
      <c r="M40" s="199">
        <v>0</v>
      </c>
      <c r="N40" s="199">
        <v>0</v>
      </c>
      <c r="O40" s="199">
        <v>0</v>
      </c>
      <c r="P40" s="199">
        <v>0</v>
      </c>
      <c r="Q40" s="199">
        <v>0</v>
      </c>
      <c r="R40" s="199">
        <v>0</v>
      </c>
      <c r="S40" s="199">
        <v>0</v>
      </c>
      <c r="T40" s="199">
        <v>0</v>
      </c>
      <c r="U40" s="199">
        <v>0</v>
      </c>
      <c r="V40" s="199">
        <v>0</v>
      </c>
      <c r="W40" s="199">
        <v>0</v>
      </c>
      <c r="X40" s="199">
        <v>0</v>
      </c>
      <c r="Y40" s="199">
        <v>0</v>
      </c>
      <c r="Z40" s="199">
        <v>0</v>
      </c>
      <c r="AA40" s="199">
        <v>0</v>
      </c>
      <c r="AB40" s="414">
        <f t="shared" si="23"/>
        <v>0</v>
      </c>
      <c r="AC40" s="414">
        <f t="shared" si="24"/>
        <v>0</v>
      </c>
    </row>
    <row r="41" spans="1:29" x14ac:dyDescent="0.25">
      <c r="A41" s="197" t="s">
        <v>150</v>
      </c>
      <c r="B41" s="198" t="s">
        <v>136</v>
      </c>
      <c r="C41" s="199">
        <v>0</v>
      </c>
      <c r="D41" s="199">
        <v>0</v>
      </c>
      <c r="E41" s="199">
        <v>0</v>
      </c>
      <c r="F41" s="199">
        <v>0</v>
      </c>
      <c r="G41" s="199">
        <v>0</v>
      </c>
      <c r="H41" s="199">
        <v>0</v>
      </c>
      <c r="I41" s="199">
        <v>0</v>
      </c>
      <c r="J41" s="199">
        <v>0</v>
      </c>
      <c r="K41" s="199">
        <v>0</v>
      </c>
      <c r="L41" s="199">
        <v>0</v>
      </c>
      <c r="M41" s="199">
        <v>0</v>
      </c>
      <c r="N41" s="199">
        <v>0</v>
      </c>
      <c r="O41" s="199">
        <v>0</v>
      </c>
      <c r="P41" s="199">
        <v>0</v>
      </c>
      <c r="Q41" s="199">
        <v>0</v>
      </c>
      <c r="R41" s="199">
        <v>0</v>
      </c>
      <c r="S41" s="199">
        <v>0</v>
      </c>
      <c r="T41" s="199">
        <v>0</v>
      </c>
      <c r="U41" s="199">
        <v>0</v>
      </c>
      <c r="V41" s="199">
        <v>0</v>
      </c>
      <c r="W41" s="199">
        <v>0</v>
      </c>
      <c r="X41" s="199">
        <v>0</v>
      </c>
      <c r="Y41" s="199">
        <v>0</v>
      </c>
      <c r="Z41" s="199">
        <v>0</v>
      </c>
      <c r="AA41" s="199">
        <v>0</v>
      </c>
      <c r="AB41" s="414">
        <f t="shared" si="23"/>
        <v>0</v>
      </c>
      <c r="AC41" s="414">
        <f t="shared" si="24"/>
        <v>0</v>
      </c>
    </row>
    <row r="42" spans="1:29" ht="18.75" x14ac:dyDescent="0.25">
      <c r="A42" s="197" t="s">
        <v>149</v>
      </c>
      <c r="B42" s="200" t="s">
        <v>531</v>
      </c>
      <c r="C42" s="199">
        <v>0</v>
      </c>
      <c r="D42" s="199">
        <v>0</v>
      </c>
      <c r="E42" s="199">
        <v>0</v>
      </c>
      <c r="F42" s="199">
        <v>0</v>
      </c>
      <c r="G42" s="199">
        <v>0</v>
      </c>
      <c r="H42" s="199">
        <v>0</v>
      </c>
      <c r="I42" s="199">
        <v>0</v>
      </c>
      <c r="J42" s="199">
        <v>0</v>
      </c>
      <c r="K42" s="199">
        <v>0</v>
      </c>
      <c r="L42" s="199">
        <v>0</v>
      </c>
      <c r="M42" s="199">
        <v>0</v>
      </c>
      <c r="N42" s="199">
        <v>0</v>
      </c>
      <c r="O42" s="199">
        <v>0</v>
      </c>
      <c r="P42" s="199">
        <v>0</v>
      </c>
      <c r="Q42" s="199">
        <v>0</v>
      </c>
      <c r="R42" s="199">
        <v>0</v>
      </c>
      <c r="S42" s="199">
        <v>0</v>
      </c>
      <c r="T42" s="199">
        <v>0</v>
      </c>
      <c r="U42" s="199">
        <v>0</v>
      </c>
      <c r="V42" s="199">
        <v>0</v>
      </c>
      <c r="W42" s="199">
        <v>0</v>
      </c>
      <c r="X42" s="199">
        <v>0</v>
      </c>
      <c r="Y42" s="199">
        <v>0</v>
      </c>
      <c r="Z42" s="199">
        <v>0</v>
      </c>
      <c r="AA42" s="199">
        <v>0</v>
      </c>
      <c r="AB42" s="414">
        <f t="shared" si="23"/>
        <v>0</v>
      </c>
      <c r="AC42" s="414">
        <f t="shared" si="24"/>
        <v>0</v>
      </c>
    </row>
    <row r="43" spans="1:29" s="53" customFormat="1" x14ac:dyDescent="0.25">
      <c r="A43" s="193" t="s">
        <v>59</v>
      </c>
      <c r="B43" s="194" t="s">
        <v>148</v>
      </c>
      <c r="C43" s="196">
        <v>0</v>
      </c>
      <c r="D43" s="196">
        <v>0</v>
      </c>
      <c r="E43" s="196">
        <v>0</v>
      </c>
      <c r="F43" s="196">
        <v>0</v>
      </c>
      <c r="G43" s="196">
        <v>0</v>
      </c>
      <c r="H43" s="196">
        <v>0</v>
      </c>
      <c r="I43" s="196">
        <v>0</v>
      </c>
      <c r="J43" s="196">
        <v>0</v>
      </c>
      <c r="K43" s="196">
        <v>0</v>
      </c>
      <c r="L43" s="196">
        <v>0</v>
      </c>
      <c r="M43" s="196">
        <v>0</v>
      </c>
      <c r="N43" s="196">
        <v>0</v>
      </c>
      <c r="O43" s="196">
        <v>0</v>
      </c>
      <c r="P43" s="196">
        <v>0</v>
      </c>
      <c r="Q43" s="196">
        <v>0</v>
      </c>
      <c r="R43" s="196">
        <v>0</v>
      </c>
      <c r="S43" s="196">
        <v>0</v>
      </c>
      <c r="T43" s="196">
        <v>0</v>
      </c>
      <c r="U43" s="196">
        <v>0</v>
      </c>
      <c r="V43" s="196">
        <v>0</v>
      </c>
      <c r="W43" s="196">
        <v>0</v>
      </c>
      <c r="X43" s="196">
        <v>0</v>
      </c>
      <c r="Y43" s="196">
        <v>0</v>
      </c>
      <c r="Z43" s="196">
        <v>0</v>
      </c>
      <c r="AA43" s="196">
        <v>0</v>
      </c>
      <c r="AB43" s="414">
        <f t="shared" si="23"/>
        <v>0</v>
      </c>
      <c r="AC43" s="414">
        <f t="shared" si="24"/>
        <v>0</v>
      </c>
    </row>
    <row r="44" spans="1:29" x14ac:dyDescent="0.25">
      <c r="A44" s="197" t="s">
        <v>147</v>
      </c>
      <c r="B44" s="198" t="s">
        <v>146</v>
      </c>
      <c r="C44" s="199">
        <v>0</v>
      </c>
      <c r="D44" s="199">
        <v>0</v>
      </c>
      <c r="E44" s="199">
        <v>0</v>
      </c>
      <c r="F44" s="199">
        <v>0</v>
      </c>
      <c r="G44" s="199">
        <v>0</v>
      </c>
      <c r="H44" s="199">
        <v>0</v>
      </c>
      <c r="I44" s="199">
        <v>0</v>
      </c>
      <c r="J44" s="199">
        <v>0</v>
      </c>
      <c r="K44" s="199">
        <v>0</v>
      </c>
      <c r="L44" s="199">
        <v>0</v>
      </c>
      <c r="M44" s="199">
        <v>0</v>
      </c>
      <c r="N44" s="199">
        <v>0</v>
      </c>
      <c r="O44" s="199">
        <v>0</v>
      </c>
      <c r="P44" s="199">
        <v>0</v>
      </c>
      <c r="Q44" s="199">
        <v>0</v>
      </c>
      <c r="R44" s="199">
        <v>0</v>
      </c>
      <c r="S44" s="199">
        <v>0</v>
      </c>
      <c r="T44" s="199">
        <v>0</v>
      </c>
      <c r="U44" s="199">
        <v>0</v>
      </c>
      <c r="V44" s="199">
        <v>0</v>
      </c>
      <c r="W44" s="199">
        <v>0</v>
      </c>
      <c r="X44" s="199">
        <v>0</v>
      </c>
      <c r="Y44" s="199">
        <v>0</v>
      </c>
      <c r="Z44" s="199">
        <v>0</v>
      </c>
      <c r="AA44" s="199">
        <v>0</v>
      </c>
      <c r="AB44" s="414">
        <f t="shared" si="23"/>
        <v>0</v>
      </c>
      <c r="AC44" s="414">
        <f t="shared" si="24"/>
        <v>0</v>
      </c>
    </row>
    <row r="45" spans="1:29" x14ac:dyDescent="0.25">
      <c r="A45" s="197" t="s">
        <v>145</v>
      </c>
      <c r="B45" s="198" t="s">
        <v>144</v>
      </c>
      <c r="C45" s="199">
        <v>0</v>
      </c>
      <c r="D45" s="199">
        <v>0</v>
      </c>
      <c r="E45" s="199">
        <v>0</v>
      </c>
      <c r="F45" s="199">
        <v>0</v>
      </c>
      <c r="G45" s="199">
        <v>0</v>
      </c>
      <c r="H45" s="199">
        <v>0</v>
      </c>
      <c r="I45" s="199">
        <v>0</v>
      </c>
      <c r="J45" s="199">
        <v>0</v>
      </c>
      <c r="K45" s="199">
        <v>0</v>
      </c>
      <c r="L45" s="199">
        <v>0</v>
      </c>
      <c r="M45" s="199">
        <v>0</v>
      </c>
      <c r="N45" s="199">
        <v>0</v>
      </c>
      <c r="O45" s="199">
        <v>0</v>
      </c>
      <c r="P45" s="199">
        <v>0</v>
      </c>
      <c r="Q45" s="199">
        <v>0</v>
      </c>
      <c r="R45" s="199">
        <v>0</v>
      </c>
      <c r="S45" s="199">
        <v>0</v>
      </c>
      <c r="T45" s="199">
        <v>0</v>
      </c>
      <c r="U45" s="199">
        <v>0</v>
      </c>
      <c r="V45" s="199">
        <v>0</v>
      </c>
      <c r="W45" s="199">
        <v>0</v>
      </c>
      <c r="X45" s="199">
        <v>0</v>
      </c>
      <c r="Y45" s="199">
        <v>0</v>
      </c>
      <c r="Z45" s="199">
        <v>0</v>
      </c>
      <c r="AA45" s="199">
        <v>0</v>
      </c>
      <c r="AB45" s="414">
        <f t="shared" si="23"/>
        <v>0</v>
      </c>
      <c r="AC45" s="414">
        <f t="shared" si="24"/>
        <v>0</v>
      </c>
    </row>
    <row r="46" spans="1:29" x14ac:dyDescent="0.25">
      <c r="A46" s="197" t="s">
        <v>143</v>
      </c>
      <c r="B46" s="198" t="s">
        <v>142</v>
      </c>
      <c r="C46" s="199">
        <v>0</v>
      </c>
      <c r="D46" s="199">
        <v>0</v>
      </c>
      <c r="E46" s="199">
        <v>0</v>
      </c>
      <c r="F46" s="199">
        <v>0</v>
      </c>
      <c r="G46" s="199">
        <v>0</v>
      </c>
      <c r="H46" s="199">
        <v>0</v>
      </c>
      <c r="I46" s="199">
        <v>0</v>
      </c>
      <c r="J46" s="199">
        <v>0</v>
      </c>
      <c r="K46" s="199">
        <v>0</v>
      </c>
      <c r="L46" s="199">
        <v>0</v>
      </c>
      <c r="M46" s="199">
        <v>0</v>
      </c>
      <c r="N46" s="199">
        <v>0</v>
      </c>
      <c r="O46" s="199">
        <v>0</v>
      </c>
      <c r="P46" s="199">
        <v>0</v>
      </c>
      <c r="Q46" s="199">
        <v>0</v>
      </c>
      <c r="R46" s="199">
        <v>0</v>
      </c>
      <c r="S46" s="199">
        <v>0</v>
      </c>
      <c r="T46" s="199">
        <v>0</v>
      </c>
      <c r="U46" s="199">
        <v>0</v>
      </c>
      <c r="V46" s="199">
        <v>0</v>
      </c>
      <c r="W46" s="199">
        <v>0</v>
      </c>
      <c r="X46" s="199">
        <v>0</v>
      </c>
      <c r="Y46" s="199">
        <v>0</v>
      </c>
      <c r="Z46" s="199">
        <v>0</v>
      </c>
      <c r="AA46" s="199">
        <v>0</v>
      </c>
      <c r="AB46" s="414">
        <f t="shared" si="23"/>
        <v>0</v>
      </c>
      <c r="AC46" s="414">
        <f t="shared" si="24"/>
        <v>0</v>
      </c>
    </row>
    <row r="47" spans="1:29" ht="31.5" x14ac:dyDescent="0.25">
      <c r="A47" s="197" t="s">
        <v>141</v>
      </c>
      <c r="B47" s="198" t="s">
        <v>140</v>
      </c>
      <c r="C47" s="199">
        <v>0</v>
      </c>
      <c r="D47" s="199">
        <v>0</v>
      </c>
      <c r="E47" s="199">
        <v>0</v>
      </c>
      <c r="F47" s="199">
        <v>0</v>
      </c>
      <c r="G47" s="199">
        <v>0</v>
      </c>
      <c r="H47" s="199">
        <v>0</v>
      </c>
      <c r="I47" s="199">
        <v>0</v>
      </c>
      <c r="J47" s="199">
        <v>0</v>
      </c>
      <c r="K47" s="199">
        <v>0</v>
      </c>
      <c r="L47" s="199">
        <v>0</v>
      </c>
      <c r="M47" s="199">
        <v>0</v>
      </c>
      <c r="N47" s="199">
        <v>0</v>
      </c>
      <c r="O47" s="199">
        <v>0</v>
      </c>
      <c r="P47" s="199">
        <v>0</v>
      </c>
      <c r="Q47" s="199">
        <v>0</v>
      </c>
      <c r="R47" s="199">
        <v>0</v>
      </c>
      <c r="S47" s="199">
        <v>0</v>
      </c>
      <c r="T47" s="199">
        <v>0</v>
      </c>
      <c r="U47" s="199">
        <v>0</v>
      </c>
      <c r="V47" s="199">
        <v>0</v>
      </c>
      <c r="W47" s="199">
        <v>0</v>
      </c>
      <c r="X47" s="199">
        <v>0</v>
      </c>
      <c r="Y47" s="199">
        <v>0</v>
      </c>
      <c r="Z47" s="199">
        <v>0</v>
      </c>
      <c r="AA47" s="199">
        <v>0</v>
      </c>
      <c r="AB47" s="414">
        <f t="shared" si="23"/>
        <v>0</v>
      </c>
      <c r="AC47" s="414">
        <f t="shared" si="24"/>
        <v>0</v>
      </c>
    </row>
    <row r="48" spans="1:29" ht="31.5" x14ac:dyDescent="0.25">
      <c r="A48" s="197" t="s">
        <v>139</v>
      </c>
      <c r="B48" s="198" t="s">
        <v>138</v>
      </c>
      <c r="C48" s="199">
        <v>0</v>
      </c>
      <c r="D48" s="199">
        <v>0</v>
      </c>
      <c r="E48" s="199">
        <v>0</v>
      </c>
      <c r="F48" s="199">
        <v>0</v>
      </c>
      <c r="G48" s="199">
        <v>0</v>
      </c>
      <c r="H48" s="199">
        <v>0</v>
      </c>
      <c r="I48" s="199">
        <v>0</v>
      </c>
      <c r="J48" s="199">
        <v>0</v>
      </c>
      <c r="K48" s="199">
        <v>0</v>
      </c>
      <c r="L48" s="199">
        <v>0</v>
      </c>
      <c r="M48" s="199">
        <v>0</v>
      </c>
      <c r="N48" s="199">
        <v>0</v>
      </c>
      <c r="O48" s="199">
        <v>0</v>
      </c>
      <c r="P48" s="199">
        <v>0</v>
      </c>
      <c r="Q48" s="199">
        <v>0</v>
      </c>
      <c r="R48" s="199">
        <v>0</v>
      </c>
      <c r="S48" s="199">
        <v>0</v>
      </c>
      <c r="T48" s="199">
        <v>0</v>
      </c>
      <c r="U48" s="199">
        <v>0</v>
      </c>
      <c r="V48" s="199">
        <v>0</v>
      </c>
      <c r="W48" s="199">
        <v>0</v>
      </c>
      <c r="X48" s="199">
        <v>0</v>
      </c>
      <c r="Y48" s="199">
        <v>0</v>
      </c>
      <c r="Z48" s="199">
        <v>0</v>
      </c>
      <c r="AA48" s="199">
        <v>0</v>
      </c>
      <c r="AB48" s="414">
        <f t="shared" si="23"/>
        <v>0</v>
      </c>
      <c r="AC48" s="414">
        <f t="shared" si="24"/>
        <v>0</v>
      </c>
    </row>
    <row r="49" spans="1:31" x14ac:dyDescent="0.25">
      <c r="A49" s="197" t="s">
        <v>137</v>
      </c>
      <c r="B49" s="198" t="s">
        <v>136</v>
      </c>
      <c r="C49" s="199">
        <v>0</v>
      </c>
      <c r="D49" s="199">
        <v>0</v>
      </c>
      <c r="E49" s="199">
        <v>0</v>
      </c>
      <c r="F49" s="199">
        <v>0</v>
      </c>
      <c r="G49" s="199">
        <v>0</v>
      </c>
      <c r="H49" s="199">
        <v>0</v>
      </c>
      <c r="I49" s="199">
        <v>0</v>
      </c>
      <c r="J49" s="199">
        <v>0</v>
      </c>
      <c r="K49" s="199">
        <v>0</v>
      </c>
      <c r="L49" s="199">
        <v>0</v>
      </c>
      <c r="M49" s="199">
        <v>0</v>
      </c>
      <c r="N49" s="199">
        <v>0</v>
      </c>
      <c r="O49" s="199">
        <v>0</v>
      </c>
      <c r="P49" s="199">
        <v>0</v>
      </c>
      <c r="Q49" s="199">
        <v>0</v>
      </c>
      <c r="R49" s="199">
        <v>0</v>
      </c>
      <c r="S49" s="199">
        <v>0</v>
      </c>
      <c r="T49" s="199">
        <v>0</v>
      </c>
      <c r="U49" s="199">
        <v>0</v>
      </c>
      <c r="V49" s="199">
        <v>0</v>
      </c>
      <c r="W49" s="199">
        <v>0</v>
      </c>
      <c r="X49" s="199">
        <v>0</v>
      </c>
      <c r="Y49" s="199">
        <v>0</v>
      </c>
      <c r="Z49" s="199">
        <v>0</v>
      </c>
      <c r="AA49" s="199">
        <v>0</v>
      </c>
      <c r="AB49" s="414">
        <f t="shared" si="23"/>
        <v>0</v>
      </c>
      <c r="AC49" s="414">
        <f t="shared" si="24"/>
        <v>0</v>
      </c>
    </row>
    <row r="50" spans="1:31" ht="18.75" x14ac:dyDescent="0.25">
      <c r="A50" s="197" t="s">
        <v>135</v>
      </c>
      <c r="B50" s="200" t="s">
        <v>531</v>
      </c>
      <c r="C50" s="199">
        <v>0</v>
      </c>
      <c r="D50" s="199">
        <v>0</v>
      </c>
      <c r="E50" s="199">
        <v>0</v>
      </c>
      <c r="F50" s="199">
        <v>0</v>
      </c>
      <c r="G50" s="199">
        <v>0</v>
      </c>
      <c r="H50" s="199">
        <v>0</v>
      </c>
      <c r="I50" s="199">
        <v>0</v>
      </c>
      <c r="J50" s="199">
        <v>0</v>
      </c>
      <c r="K50" s="199">
        <v>0</v>
      </c>
      <c r="L50" s="199">
        <v>0</v>
      </c>
      <c r="M50" s="199">
        <v>0</v>
      </c>
      <c r="N50" s="199">
        <v>0</v>
      </c>
      <c r="O50" s="199">
        <v>0</v>
      </c>
      <c r="P50" s="199">
        <v>0</v>
      </c>
      <c r="Q50" s="199">
        <v>0</v>
      </c>
      <c r="R50" s="199">
        <v>0</v>
      </c>
      <c r="S50" s="199">
        <v>0</v>
      </c>
      <c r="T50" s="199">
        <v>0</v>
      </c>
      <c r="U50" s="199">
        <v>0</v>
      </c>
      <c r="V50" s="199">
        <v>0</v>
      </c>
      <c r="W50" s="199">
        <v>0</v>
      </c>
      <c r="X50" s="199">
        <v>0</v>
      </c>
      <c r="Y50" s="199">
        <v>0</v>
      </c>
      <c r="Z50" s="199">
        <v>0</v>
      </c>
      <c r="AA50" s="199">
        <v>0</v>
      </c>
      <c r="AB50" s="414">
        <f t="shared" si="23"/>
        <v>0</v>
      </c>
      <c r="AC50" s="414">
        <f t="shared" si="24"/>
        <v>0</v>
      </c>
    </row>
    <row r="51" spans="1:31" s="53" customFormat="1" ht="35.25" customHeight="1" x14ac:dyDescent="0.25">
      <c r="A51" s="193" t="s">
        <v>57</v>
      </c>
      <c r="B51" s="194" t="s">
        <v>134</v>
      </c>
      <c r="C51" s="196">
        <v>0</v>
      </c>
      <c r="D51" s="196">
        <v>0</v>
      </c>
      <c r="E51" s="196">
        <v>0</v>
      </c>
      <c r="F51" s="196">
        <v>0</v>
      </c>
      <c r="G51" s="196">
        <v>0</v>
      </c>
      <c r="H51" s="196">
        <v>0</v>
      </c>
      <c r="I51" s="196">
        <v>0</v>
      </c>
      <c r="J51" s="196">
        <v>0</v>
      </c>
      <c r="K51" s="196">
        <v>0</v>
      </c>
      <c r="L51" s="196">
        <v>0</v>
      </c>
      <c r="M51" s="196">
        <v>0</v>
      </c>
      <c r="N51" s="196">
        <v>0</v>
      </c>
      <c r="O51" s="196">
        <v>0</v>
      </c>
      <c r="P51" s="196">
        <v>0</v>
      </c>
      <c r="Q51" s="196">
        <v>0</v>
      </c>
      <c r="R51" s="196">
        <v>0</v>
      </c>
      <c r="S51" s="196">
        <v>0</v>
      </c>
      <c r="T51" s="196">
        <v>0</v>
      </c>
      <c r="U51" s="196">
        <v>0</v>
      </c>
      <c r="V51" s="196">
        <v>0</v>
      </c>
      <c r="W51" s="196">
        <v>0</v>
      </c>
      <c r="X51" s="196">
        <v>0</v>
      </c>
      <c r="Y51" s="196">
        <v>0</v>
      </c>
      <c r="Z51" s="196">
        <v>0</v>
      </c>
      <c r="AA51" s="196">
        <v>0</v>
      </c>
      <c r="AB51" s="414">
        <f t="shared" si="23"/>
        <v>0</v>
      </c>
      <c r="AC51" s="414">
        <f t="shared" si="24"/>
        <v>0</v>
      </c>
    </row>
    <row r="52" spans="1:31" x14ac:dyDescent="0.25">
      <c r="A52" s="197" t="s">
        <v>133</v>
      </c>
      <c r="B52" s="198" t="s">
        <v>132</v>
      </c>
      <c r="C52" s="199">
        <v>0</v>
      </c>
      <c r="D52" s="199">
        <v>0</v>
      </c>
      <c r="E52" s="199">
        <v>0</v>
      </c>
      <c r="F52" s="199">
        <v>0</v>
      </c>
      <c r="G52" s="199">
        <v>0</v>
      </c>
      <c r="H52" s="199">
        <v>0</v>
      </c>
      <c r="I52" s="199">
        <v>0</v>
      </c>
      <c r="J52" s="199">
        <v>0</v>
      </c>
      <c r="K52" s="199">
        <v>0</v>
      </c>
      <c r="L52" s="199">
        <v>0</v>
      </c>
      <c r="M52" s="199">
        <v>0</v>
      </c>
      <c r="N52" s="199">
        <v>0</v>
      </c>
      <c r="O52" s="199">
        <v>0</v>
      </c>
      <c r="P52" s="199">
        <v>0</v>
      </c>
      <c r="Q52" s="199">
        <v>0</v>
      </c>
      <c r="R52" s="199">
        <v>0</v>
      </c>
      <c r="S52" s="199">
        <v>0</v>
      </c>
      <c r="T52" s="199">
        <v>0</v>
      </c>
      <c r="U52" s="199">
        <v>0</v>
      </c>
      <c r="V52" s="199">
        <v>0</v>
      </c>
      <c r="W52" s="199">
        <v>0</v>
      </c>
      <c r="X52" s="199">
        <v>0</v>
      </c>
      <c r="Y52" s="199">
        <v>0</v>
      </c>
      <c r="Z52" s="199">
        <v>0</v>
      </c>
      <c r="AA52" s="199">
        <v>0</v>
      </c>
      <c r="AB52" s="414">
        <f t="shared" si="23"/>
        <v>0</v>
      </c>
      <c r="AC52" s="414">
        <f t="shared" si="24"/>
        <v>0</v>
      </c>
      <c r="AE52" s="333"/>
    </row>
    <row r="53" spans="1:31" x14ac:dyDescent="0.25">
      <c r="A53" s="197" t="s">
        <v>131</v>
      </c>
      <c r="B53" s="198" t="s">
        <v>125</v>
      </c>
      <c r="C53" s="199">
        <v>0</v>
      </c>
      <c r="D53" s="199">
        <v>0</v>
      </c>
      <c r="E53" s="199">
        <v>0</v>
      </c>
      <c r="F53" s="199">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414">
        <f t="shared" si="23"/>
        <v>0</v>
      </c>
      <c r="AC53" s="414">
        <f t="shared" si="24"/>
        <v>0</v>
      </c>
    </row>
    <row r="54" spans="1:31" x14ac:dyDescent="0.25">
      <c r="A54" s="197" t="s">
        <v>130</v>
      </c>
      <c r="B54" s="200" t="s">
        <v>124</v>
      </c>
      <c r="C54" s="199">
        <v>0</v>
      </c>
      <c r="D54" s="199">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414">
        <f t="shared" si="23"/>
        <v>0</v>
      </c>
      <c r="AC54" s="414">
        <f t="shared" si="24"/>
        <v>0</v>
      </c>
    </row>
    <row r="55" spans="1:31" x14ac:dyDescent="0.25">
      <c r="A55" s="197" t="s">
        <v>129</v>
      </c>
      <c r="B55" s="200" t="s">
        <v>123</v>
      </c>
      <c r="C55" s="199">
        <v>0</v>
      </c>
      <c r="D55" s="199">
        <v>0</v>
      </c>
      <c r="E55" s="199">
        <v>0</v>
      </c>
      <c r="F55" s="199">
        <v>0</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414">
        <f t="shared" si="23"/>
        <v>0</v>
      </c>
      <c r="AC55" s="414">
        <f t="shared" si="24"/>
        <v>0</v>
      </c>
    </row>
    <row r="56" spans="1:31" x14ac:dyDescent="0.25">
      <c r="A56" s="197" t="s">
        <v>128</v>
      </c>
      <c r="B56" s="200" t="s">
        <v>122</v>
      </c>
      <c r="C56" s="199">
        <v>0</v>
      </c>
      <c r="D56" s="199">
        <v>0</v>
      </c>
      <c r="E56" s="199">
        <v>0</v>
      </c>
      <c r="F56" s="199">
        <v>0</v>
      </c>
      <c r="G56" s="199">
        <v>0</v>
      </c>
      <c r="H56" s="199">
        <v>0</v>
      </c>
      <c r="I56" s="199">
        <v>0</v>
      </c>
      <c r="J56" s="199">
        <v>0</v>
      </c>
      <c r="K56" s="199">
        <v>0</v>
      </c>
      <c r="L56" s="199">
        <v>0</v>
      </c>
      <c r="M56" s="199">
        <v>0</v>
      </c>
      <c r="N56" s="199">
        <v>0</v>
      </c>
      <c r="O56" s="199">
        <v>0</v>
      </c>
      <c r="P56" s="199">
        <v>0</v>
      </c>
      <c r="Q56" s="199">
        <v>0</v>
      </c>
      <c r="R56" s="199">
        <v>0</v>
      </c>
      <c r="S56" s="199">
        <v>0</v>
      </c>
      <c r="T56" s="199">
        <v>0</v>
      </c>
      <c r="U56" s="199">
        <v>0</v>
      </c>
      <c r="V56" s="199">
        <v>0</v>
      </c>
      <c r="W56" s="199">
        <v>0</v>
      </c>
      <c r="X56" s="199">
        <v>0</v>
      </c>
      <c r="Y56" s="199">
        <v>0</v>
      </c>
      <c r="Z56" s="199">
        <v>0</v>
      </c>
      <c r="AA56" s="199">
        <v>0</v>
      </c>
      <c r="AB56" s="414">
        <f t="shared" si="23"/>
        <v>0</v>
      </c>
      <c r="AC56" s="414">
        <f t="shared" si="24"/>
        <v>0</v>
      </c>
    </row>
    <row r="57" spans="1:31" ht="18.75" x14ac:dyDescent="0.25">
      <c r="A57" s="197" t="s">
        <v>127</v>
      </c>
      <c r="B57" s="200" t="s">
        <v>531</v>
      </c>
      <c r="C57" s="199">
        <v>0</v>
      </c>
      <c r="D57" s="199">
        <v>0</v>
      </c>
      <c r="E57" s="199">
        <v>0</v>
      </c>
      <c r="F57" s="199">
        <v>0</v>
      </c>
      <c r="G57" s="199">
        <v>0</v>
      </c>
      <c r="H57" s="199">
        <v>0</v>
      </c>
      <c r="I57" s="199">
        <v>0</v>
      </c>
      <c r="J57" s="199">
        <v>0</v>
      </c>
      <c r="K57" s="199">
        <v>0</v>
      </c>
      <c r="L57" s="199">
        <v>0</v>
      </c>
      <c r="M57" s="199">
        <v>0</v>
      </c>
      <c r="N57" s="199">
        <v>0</v>
      </c>
      <c r="O57" s="199">
        <v>0</v>
      </c>
      <c r="P57" s="199">
        <v>0</v>
      </c>
      <c r="Q57" s="199">
        <v>0</v>
      </c>
      <c r="R57" s="199">
        <v>0</v>
      </c>
      <c r="S57" s="199">
        <v>0</v>
      </c>
      <c r="T57" s="199">
        <v>0</v>
      </c>
      <c r="U57" s="199">
        <v>0</v>
      </c>
      <c r="V57" s="199">
        <v>0</v>
      </c>
      <c r="W57" s="199">
        <v>0</v>
      </c>
      <c r="X57" s="199">
        <v>0</v>
      </c>
      <c r="Y57" s="199">
        <v>0</v>
      </c>
      <c r="Z57" s="199">
        <v>0</v>
      </c>
      <c r="AA57" s="199">
        <v>0</v>
      </c>
      <c r="AB57" s="414">
        <f t="shared" si="23"/>
        <v>0</v>
      </c>
      <c r="AC57" s="414">
        <f t="shared" si="24"/>
        <v>0</v>
      </c>
    </row>
    <row r="58" spans="1:31" s="53" customFormat="1" ht="36.75" customHeight="1" x14ac:dyDescent="0.25">
      <c r="A58" s="193" t="s">
        <v>56</v>
      </c>
      <c r="B58" s="201" t="s">
        <v>201</v>
      </c>
      <c r="C58" s="196">
        <v>0</v>
      </c>
      <c r="D58" s="196">
        <v>0</v>
      </c>
      <c r="E58" s="196">
        <v>0</v>
      </c>
      <c r="F58" s="196">
        <v>0</v>
      </c>
      <c r="G58" s="196">
        <v>0</v>
      </c>
      <c r="H58" s="196">
        <v>0</v>
      </c>
      <c r="I58" s="196">
        <v>0</v>
      </c>
      <c r="J58" s="196">
        <v>0</v>
      </c>
      <c r="K58" s="196">
        <v>0</v>
      </c>
      <c r="L58" s="196">
        <v>0</v>
      </c>
      <c r="M58" s="196">
        <v>0</v>
      </c>
      <c r="N58" s="196">
        <v>0</v>
      </c>
      <c r="O58" s="196">
        <v>0</v>
      </c>
      <c r="P58" s="196">
        <v>0</v>
      </c>
      <c r="Q58" s="196">
        <v>0</v>
      </c>
      <c r="R58" s="196">
        <v>0</v>
      </c>
      <c r="S58" s="196">
        <v>0</v>
      </c>
      <c r="T58" s="196">
        <v>0</v>
      </c>
      <c r="U58" s="196">
        <v>0</v>
      </c>
      <c r="V58" s="196">
        <v>0</v>
      </c>
      <c r="W58" s="196">
        <v>0</v>
      </c>
      <c r="X58" s="196">
        <v>0</v>
      </c>
      <c r="Y58" s="196">
        <v>0</v>
      </c>
      <c r="Z58" s="196">
        <v>0</v>
      </c>
      <c r="AA58" s="196">
        <v>0</v>
      </c>
      <c r="AB58" s="414">
        <f t="shared" si="23"/>
        <v>0</v>
      </c>
      <c r="AC58" s="414">
        <f t="shared" si="24"/>
        <v>0</v>
      </c>
    </row>
    <row r="59" spans="1:31" s="53" customFormat="1" x14ac:dyDescent="0.25">
      <c r="A59" s="193" t="s">
        <v>54</v>
      </c>
      <c r="B59" s="194" t="s">
        <v>126</v>
      </c>
      <c r="C59" s="196">
        <v>0</v>
      </c>
      <c r="D59" s="196">
        <v>0</v>
      </c>
      <c r="E59" s="196">
        <v>0</v>
      </c>
      <c r="F59" s="196">
        <v>0</v>
      </c>
      <c r="G59" s="196">
        <v>0</v>
      </c>
      <c r="H59" s="196">
        <v>0</v>
      </c>
      <c r="I59" s="196">
        <v>0</v>
      </c>
      <c r="J59" s="196">
        <v>0</v>
      </c>
      <c r="K59" s="196">
        <v>0</v>
      </c>
      <c r="L59" s="196">
        <v>0</v>
      </c>
      <c r="M59" s="196">
        <v>0</v>
      </c>
      <c r="N59" s="196">
        <v>0</v>
      </c>
      <c r="O59" s="196">
        <v>0</v>
      </c>
      <c r="P59" s="196">
        <v>0</v>
      </c>
      <c r="Q59" s="196">
        <v>0</v>
      </c>
      <c r="R59" s="196">
        <v>0</v>
      </c>
      <c r="S59" s="196">
        <v>0</v>
      </c>
      <c r="T59" s="196">
        <v>0</v>
      </c>
      <c r="U59" s="196">
        <v>0</v>
      </c>
      <c r="V59" s="196">
        <v>0</v>
      </c>
      <c r="W59" s="196">
        <v>0</v>
      </c>
      <c r="X59" s="196">
        <v>0</v>
      </c>
      <c r="Y59" s="196">
        <v>0</v>
      </c>
      <c r="Z59" s="196">
        <v>0</v>
      </c>
      <c r="AA59" s="196">
        <v>0</v>
      </c>
      <c r="AB59" s="414">
        <f t="shared" si="23"/>
        <v>0</v>
      </c>
      <c r="AC59" s="414">
        <f t="shared" si="24"/>
        <v>0</v>
      </c>
    </row>
    <row r="60" spans="1:31" x14ac:dyDescent="0.25">
      <c r="A60" s="197" t="s">
        <v>195</v>
      </c>
      <c r="B60" s="127" t="s">
        <v>146</v>
      </c>
      <c r="C60" s="199">
        <v>0</v>
      </c>
      <c r="D60" s="199">
        <v>0</v>
      </c>
      <c r="E60" s="199">
        <v>0</v>
      </c>
      <c r="F60" s="199">
        <v>0</v>
      </c>
      <c r="G60" s="199">
        <v>0</v>
      </c>
      <c r="H60" s="199">
        <v>0</v>
      </c>
      <c r="I60" s="199">
        <v>0</v>
      </c>
      <c r="J60" s="199">
        <v>0</v>
      </c>
      <c r="K60" s="199">
        <v>0</v>
      </c>
      <c r="L60" s="199">
        <v>0</v>
      </c>
      <c r="M60" s="199">
        <v>0</v>
      </c>
      <c r="N60" s="199">
        <v>0</v>
      </c>
      <c r="O60" s="199">
        <v>0</v>
      </c>
      <c r="P60" s="199">
        <v>0</v>
      </c>
      <c r="Q60" s="199">
        <v>0</v>
      </c>
      <c r="R60" s="199">
        <v>0</v>
      </c>
      <c r="S60" s="199">
        <v>0</v>
      </c>
      <c r="T60" s="199">
        <v>0</v>
      </c>
      <c r="U60" s="199">
        <v>0</v>
      </c>
      <c r="V60" s="199">
        <v>0</v>
      </c>
      <c r="W60" s="199">
        <v>0</v>
      </c>
      <c r="X60" s="199">
        <v>0</v>
      </c>
      <c r="Y60" s="199">
        <v>0</v>
      </c>
      <c r="Z60" s="199">
        <v>0</v>
      </c>
      <c r="AA60" s="199">
        <v>0</v>
      </c>
      <c r="AB60" s="414">
        <f t="shared" si="23"/>
        <v>0</v>
      </c>
      <c r="AC60" s="414">
        <f t="shared" si="24"/>
        <v>0</v>
      </c>
    </row>
    <row r="61" spans="1:31" x14ac:dyDescent="0.25">
      <c r="A61" s="197" t="s">
        <v>196</v>
      </c>
      <c r="B61" s="127" t="s">
        <v>144</v>
      </c>
      <c r="C61" s="199">
        <v>0</v>
      </c>
      <c r="D61" s="199">
        <v>0</v>
      </c>
      <c r="E61" s="199">
        <v>0</v>
      </c>
      <c r="F61" s="199">
        <v>0</v>
      </c>
      <c r="G61" s="199">
        <v>0</v>
      </c>
      <c r="H61" s="199">
        <v>0</v>
      </c>
      <c r="I61" s="199">
        <v>0</v>
      </c>
      <c r="J61" s="199">
        <v>0</v>
      </c>
      <c r="K61" s="199">
        <v>0</v>
      </c>
      <c r="L61" s="199">
        <v>0</v>
      </c>
      <c r="M61" s="199">
        <v>0</v>
      </c>
      <c r="N61" s="199">
        <v>0</v>
      </c>
      <c r="O61" s="199">
        <v>0</v>
      </c>
      <c r="P61" s="199">
        <v>0</v>
      </c>
      <c r="Q61" s="199">
        <v>0</v>
      </c>
      <c r="R61" s="199">
        <v>0</v>
      </c>
      <c r="S61" s="199">
        <v>0</v>
      </c>
      <c r="T61" s="199">
        <v>0</v>
      </c>
      <c r="U61" s="199">
        <v>0</v>
      </c>
      <c r="V61" s="199">
        <v>0</v>
      </c>
      <c r="W61" s="199">
        <v>0</v>
      </c>
      <c r="X61" s="199">
        <v>0</v>
      </c>
      <c r="Y61" s="199">
        <v>0</v>
      </c>
      <c r="Z61" s="199">
        <v>0</v>
      </c>
      <c r="AA61" s="199">
        <v>0</v>
      </c>
      <c r="AB61" s="414">
        <f t="shared" si="23"/>
        <v>0</v>
      </c>
      <c r="AC61" s="414">
        <f t="shared" si="24"/>
        <v>0</v>
      </c>
    </row>
    <row r="62" spans="1:31" x14ac:dyDescent="0.25">
      <c r="A62" s="197" t="s">
        <v>197</v>
      </c>
      <c r="B62" s="127" t="s">
        <v>142</v>
      </c>
      <c r="C62" s="199">
        <v>0</v>
      </c>
      <c r="D62" s="199">
        <v>0</v>
      </c>
      <c r="E62" s="199">
        <v>0</v>
      </c>
      <c r="F62" s="199">
        <v>0</v>
      </c>
      <c r="G62" s="199">
        <v>0</v>
      </c>
      <c r="H62" s="199">
        <v>0</v>
      </c>
      <c r="I62" s="199">
        <v>0</v>
      </c>
      <c r="J62" s="199">
        <v>0</v>
      </c>
      <c r="K62" s="199">
        <v>0</v>
      </c>
      <c r="L62" s="199">
        <v>0</v>
      </c>
      <c r="M62" s="199">
        <v>0</v>
      </c>
      <c r="N62" s="199">
        <v>0</v>
      </c>
      <c r="O62" s="199">
        <v>0</v>
      </c>
      <c r="P62" s="199">
        <v>0</v>
      </c>
      <c r="Q62" s="199">
        <v>0</v>
      </c>
      <c r="R62" s="199">
        <v>0</v>
      </c>
      <c r="S62" s="199">
        <v>0</v>
      </c>
      <c r="T62" s="199">
        <v>0</v>
      </c>
      <c r="U62" s="199">
        <v>0</v>
      </c>
      <c r="V62" s="199">
        <v>0</v>
      </c>
      <c r="W62" s="199">
        <v>0</v>
      </c>
      <c r="X62" s="199">
        <v>0</v>
      </c>
      <c r="Y62" s="199">
        <v>0</v>
      </c>
      <c r="Z62" s="199">
        <v>0</v>
      </c>
      <c r="AA62" s="199">
        <v>0</v>
      </c>
      <c r="AB62" s="414">
        <f t="shared" si="23"/>
        <v>0</v>
      </c>
      <c r="AC62" s="414">
        <f t="shared" si="24"/>
        <v>0</v>
      </c>
    </row>
    <row r="63" spans="1:31" x14ac:dyDescent="0.25">
      <c r="A63" s="197" t="s">
        <v>198</v>
      </c>
      <c r="B63" s="127" t="s">
        <v>200</v>
      </c>
      <c r="C63" s="199">
        <v>0</v>
      </c>
      <c r="D63" s="199">
        <v>0</v>
      </c>
      <c r="E63" s="199">
        <v>0</v>
      </c>
      <c r="F63" s="199">
        <v>0</v>
      </c>
      <c r="G63" s="199">
        <v>0</v>
      </c>
      <c r="H63" s="199">
        <v>0</v>
      </c>
      <c r="I63" s="199">
        <v>0</v>
      </c>
      <c r="J63" s="199">
        <v>0</v>
      </c>
      <c r="K63" s="199">
        <v>0</v>
      </c>
      <c r="L63" s="199">
        <v>0</v>
      </c>
      <c r="M63" s="199">
        <v>0</v>
      </c>
      <c r="N63" s="199">
        <v>0</v>
      </c>
      <c r="O63" s="199">
        <v>0</v>
      </c>
      <c r="P63" s="199">
        <v>0</v>
      </c>
      <c r="Q63" s="199">
        <v>0</v>
      </c>
      <c r="R63" s="199">
        <v>0</v>
      </c>
      <c r="S63" s="199">
        <v>0</v>
      </c>
      <c r="T63" s="199">
        <v>0</v>
      </c>
      <c r="U63" s="199">
        <v>0</v>
      </c>
      <c r="V63" s="199">
        <v>0</v>
      </c>
      <c r="W63" s="199">
        <v>0</v>
      </c>
      <c r="X63" s="199">
        <v>0</v>
      </c>
      <c r="Y63" s="199">
        <v>0</v>
      </c>
      <c r="Z63" s="199">
        <v>0</v>
      </c>
      <c r="AA63" s="199">
        <v>0</v>
      </c>
      <c r="AB63" s="414">
        <f t="shared" si="23"/>
        <v>0</v>
      </c>
      <c r="AC63" s="414">
        <f t="shared" si="24"/>
        <v>0</v>
      </c>
    </row>
    <row r="64" spans="1:31" ht="18.75" x14ac:dyDescent="0.25">
      <c r="A64" s="197" t="s">
        <v>199</v>
      </c>
      <c r="B64" s="200" t="s">
        <v>532</v>
      </c>
      <c r="C64" s="199">
        <v>0</v>
      </c>
      <c r="D64" s="199">
        <v>0</v>
      </c>
      <c r="E64" s="199">
        <v>0</v>
      </c>
      <c r="F64" s="199">
        <v>0</v>
      </c>
      <c r="G64" s="199">
        <v>0</v>
      </c>
      <c r="H64" s="199">
        <v>0</v>
      </c>
      <c r="I64" s="199">
        <v>0</v>
      </c>
      <c r="J64" s="199">
        <v>0</v>
      </c>
      <c r="K64" s="199">
        <v>0</v>
      </c>
      <c r="L64" s="199">
        <v>0</v>
      </c>
      <c r="M64" s="199">
        <v>0</v>
      </c>
      <c r="N64" s="199">
        <v>0</v>
      </c>
      <c r="O64" s="199">
        <v>0</v>
      </c>
      <c r="P64" s="199">
        <v>0</v>
      </c>
      <c r="Q64" s="199">
        <v>0</v>
      </c>
      <c r="R64" s="199">
        <v>0</v>
      </c>
      <c r="S64" s="199">
        <v>0</v>
      </c>
      <c r="T64" s="199">
        <v>0</v>
      </c>
      <c r="U64" s="199">
        <v>0</v>
      </c>
      <c r="V64" s="199">
        <v>0</v>
      </c>
      <c r="W64" s="199">
        <v>0</v>
      </c>
      <c r="X64" s="199">
        <v>0</v>
      </c>
      <c r="Y64" s="199">
        <v>0</v>
      </c>
      <c r="Z64" s="199">
        <v>0</v>
      </c>
      <c r="AA64" s="199">
        <v>0</v>
      </c>
      <c r="AB64" s="414">
        <f t="shared" si="23"/>
        <v>0</v>
      </c>
      <c r="AC64" s="414">
        <f t="shared" si="24"/>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15"/>
      <c r="C66" s="515"/>
      <c r="D66" s="515"/>
      <c r="E66" s="515"/>
      <c r="F66" s="515"/>
      <c r="G66" s="515"/>
      <c r="H66" s="515"/>
      <c r="I66" s="515"/>
      <c r="J66" s="169"/>
      <c r="K66" s="169"/>
      <c r="L66" s="401"/>
      <c r="M66" s="401"/>
      <c r="N66" s="401"/>
      <c r="O66" s="401"/>
      <c r="P66" s="401"/>
      <c r="Q66" s="401"/>
      <c r="R66" s="401"/>
      <c r="S66" s="401"/>
      <c r="T66" s="169"/>
      <c r="U66" s="169"/>
      <c r="V66" s="169"/>
      <c r="W66" s="169"/>
      <c r="X66" s="169"/>
      <c r="Y66" s="169"/>
      <c r="Z66" s="169"/>
      <c r="AA66" s="169"/>
      <c r="AB66" s="19"/>
    </row>
    <row r="67" spans="1:28" x14ac:dyDescent="0.25">
      <c r="A67" s="16"/>
      <c r="B67" s="16"/>
      <c r="C67" s="16"/>
      <c r="D67" s="16"/>
      <c r="E67" s="16"/>
      <c r="F67" s="16"/>
      <c r="AB67" s="16"/>
    </row>
    <row r="68" spans="1:28" ht="50.25" customHeight="1" x14ac:dyDescent="0.25">
      <c r="A68" s="16"/>
      <c r="B68" s="516"/>
      <c r="C68" s="516"/>
      <c r="D68" s="516"/>
      <c r="E68" s="516"/>
      <c r="F68" s="516"/>
      <c r="G68" s="516"/>
      <c r="H68" s="516"/>
      <c r="I68" s="516"/>
      <c r="J68" s="170"/>
      <c r="K68" s="170"/>
      <c r="L68" s="402"/>
      <c r="M68" s="402"/>
      <c r="N68" s="402"/>
      <c r="O68" s="402"/>
      <c r="P68" s="402"/>
      <c r="Q68" s="402"/>
      <c r="R68" s="402"/>
      <c r="S68" s="402"/>
      <c r="T68" s="170"/>
      <c r="U68" s="170"/>
      <c r="V68" s="170"/>
      <c r="W68" s="170"/>
      <c r="X68" s="170"/>
      <c r="Y68" s="170"/>
      <c r="Z68" s="170"/>
      <c r="AA68" s="170"/>
      <c r="AB68" s="16"/>
    </row>
    <row r="69" spans="1:28" x14ac:dyDescent="0.25">
      <c r="A69" s="16"/>
      <c r="B69" s="16"/>
      <c r="C69" s="16"/>
      <c r="D69" s="16"/>
      <c r="E69" s="16"/>
      <c r="F69" s="16"/>
      <c r="AB69" s="16"/>
    </row>
    <row r="70" spans="1:28" ht="36.75" customHeight="1" x14ac:dyDescent="0.25">
      <c r="A70" s="16"/>
      <c r="B70" s="515"/>
      <c r="C70" s="515"/>
      <c r="D70" s="515"/>
      <c r="E70" s="515"/>
      <c r="F70" s="515"/>
      <c r="G70" s="515"/>
      <c r="H70" s="515"/>
      <c r="I70" s="515"/>
      <c r="J70" s="169"/>
      <c r="K70" s="169"/>
      <c r="L70" s="401"/>
      <c r="M70" s="401"/>
      <c r="N70" s="401"/>
      <c r="O70" s="401"/>
      <c r="P70" s="401"/>
      <c r="Q70" s="401"/>
      <c r="R70" s="401"/>
      <c r="S70" s="401"/>
      <c r="T70" s="169"/>
      <c r="U70" s="169"/>
      <c r="V70" s="169"/>
      <c r="W70" s="169"/>
      <c r="X70" s="169"/>
      <c r="Y70" s="169"/>
      <c r="Z70" s="169"/>
      <c r="AA70" s="169"/>
      <c r="AB70" s="16"/>
    </row>
    <row r="71" spans="1:28" x14ac:dyDescent="0.25">
      <c r="A71" s="16"/>
      <c r="B71" s="18"/>
      <c r="C71" s="18"/>
      <c r="D71" s="18"/>
      <c r="E71" s="18"/>
      <c r="F71" s="18"/>
      <c r="AB71" s="16"/>
    </row>
    <row r="72" spans="1:28" ht="51" customHeight="1" x14ac:dyDescent="0.25">
      <c r="A72" s="16"/>
      <c r="B72" s="515"/>
      <c r="C72" s="515"/>
      <c r="D72" s="515"/>
      <c r="E72" s="515"/>
      <c r="F72" s="515"/>
      <c r="G72" s="515"/>
      <c r="H72" s="515"/>
      <c r="I72" s="515"/>
      <c r="J72" s="169"/>
      <c r="K72" s="169"/>
      <c r="L72" s="401"/>
      <c r="M72" s="401"/>
      <c r="N72" s="401"/>
      <c r="O72" s="401"/>
      <c r="P72" s="401"/>
      <c r="Q72" s="401"/>
      <c r="R72" s="401"/>
      <c r="S72" s="401"/>
      <c r="T72" s="169"/>
      <c r="U72" s="169"/>
      <c r="V72" s="169"/>
      <c r="W72" s="169"/>
      <c r="X72" s="169"/>
      <c r="Y72" s="169"/>
      <c r="Z72" s="169"/>
      <c r="AA72" s="169"/>
      <c r="AB72" s="16"/>
    </row>
    <row r="73" spans="1:28" ht="32.25" customHeight="1" x14ac:dyDescent="0.25">
      <c r="A73" s="16"/>
      <c r="B73" s="516"/>
      <c r="C73" s="516"/>
      <c r="D73" s="516"/>
      <c r="E73" s="516"/>
      <c r="F73" s="516"/>
      <c r="G73" s="516"/>
      <c r="H73" s="516"/>
      <c r="I73" s="516"/>
      <c r="J73" s="170"/>
      <c r="K73" s="170"/>
      <c r="L73" s="402"/>
      <c r="M73" s="402"/>
      <c r="N73" s="402"/>
      <c r="O73" s="402"/>
      <c r="P73" s="402"/>
      <c r="Q73" s="402"/>
      <c r="R73" s="402"/>
      <c r="S73" s="402"/>
      <c r="T73" s="170"/>
      <c r="U73" s="170"/>
      <c r="V73" s="170"/>
      <c r="W73" s="170"/>
      <c r="X73" s="170"/>
      <c r="Y73" s="170"/>
      <c r="Z73" s="170"/>
      <c r="AA73" s="170"/>
      <c r="AB73" s="16"/>
    </row>
    <row r="74" spans="1:28" ht="51.75" customHeight="1" x14ac:dyDescent="0.25">
      <c r="A74" s="16"/>
      <c r="B74" s="515"/>
      <c r="C74" s="515"/>
      <c r="D74" s="515"/>
      <c r="E74" s="515"/>
      <c r="F74" s="515"/>
      <c r="G74" s="515"/>
      <c r="H74" s="515"/>
      <c r="I74" s="515"/>
      <c r="J74" s="169"/>
      <c r="K74" s="169"/>
      <c r="L74" s="401"/>
      <c r="M74" s="401"/>
      <c r="N74" s="401"/>
      <c r="O74" s="401"/>
      <c r="P74" s="401"/>
      <c r="Q74" s="401"/>
      <c r="R74" s="401"/>
      <c r="S74" s="401"/>
      <c r="T74" s="169"/>
      <c r="U74" s="169"/>
      <c r="V74" s="169"/>
      <c r="W74" s="169"/>
      <c r="X74" s="169"/>
      <c r="Y74" s="169"/>
      <c r="Z74" s="169"/>
      <c r="AA74" s="169"/>
      <c r="AB74" s="16"/>
    </row>
    <row r="75" spans="1:28" ht="21.75" customHeight="1" x14ac:dyDescent="0.25">
      <c r="A75" s="16"/>
      <c r="B75" s="518"/>
      <c r="C75" s="518"/>
      <c r="D75" s="518"/>
      <c r="E75" s="518"/>
      <c r="F75" s="518"/>
      <c r="G75" s="518"/>
      <c r="H75" s="518"/>
      <c r="I75" s="518"/>
      <c r="J75" s="167"/>
      <c r="K75" s="167"/>
      <c r="L75" s="406"/>
      <c r="M75" s="406"/>
      <c r="N75" s="406"/>
      <c r="O75" s="406"/>
      <c r="P75" s="406"/>
      <c r="Q75" s="406"/>
      <c r="R75" s="406"/>
      <c r="S75" s="406"/>
      <c r="T75" s="167"/>
      <c r="U75" s="167"/>
      <c r="V75" s="167"/>
      <c r="W75" s="167"/>
      <c r="X75" s="167"/>
      <c r="Y75" s="167"/>
      <c r="Z75" s="167"/>
      <c r="AA75" s="167"/>
      <c r="AB75" s="16"/>
    </row>
    <row r="76" spans="1:28" ht="23.25" customHeight="1" x14ac:dyDescent="0.25">
      <c r="A76" s="16"/>
      <c r="B76" s="17"/>
      <c r="C76" s="17"/>
      <c r="D76" s="17"/>
      <c r="E76" s="17"/>
      <c r="F76" s="17"/>
      <c r="AB76" s="16"/>
    </row>
    <row r="77" spans="1:28" ht="18.75" customHeight="1" x14ac:dyDescent="0.25">
      <c r="A77" s="16"/>
      <c r="B77" s="517"/>
      <c r="C77" s="517"/>
      <c r="D77" s="517"/>
      <c r="E77" s="517"/>
      <c r="F77" s="517"/>
      <c r="G77" s="517"/>
      <c r="H77" s="517"/>
      <c r="I77" s="517"/>
      <c r="J77" s="168"/>
      <c r="K77" s="168"/>
      <c r="L77" s="405"/>
      <c r="M77" s="405"/>
      <c r="N77" s="405"/>
      <c r="O77" s="405"/>
      <c r="P77" s="405"/>
      <c r="Q77" s="405"/>
      <c r="R77" s="405"/>
      <c r="S77" s="405"/>
      <c r="T77" s="168"/>
      <c r="U77" s="168"/>
      <c r="V77" s="168"/>
      <c r="W77" s="168"/>
      <c r="X77" s="168"/>
      <c r="Y77" s="168"/>
      <c r="Z77" s="168"/>
      <c r="AA77" s="168"/>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X20:AA20"/>
    <mergeCell ref="AB20:AC21"/>
    <mergeCell ref="H21:I21"/>
    <mergeCell ref="T21:U21"/>
    <mergeCell ref="V21:W21"/>
    <mergeCell ref="C20:D21"/>
    <mergeCell ref="E20:F21"/>
    <mergeCell ref="G20:G22"/>
    <mergeCell ref="H20:K20"/>
    <mergeCell ref="T20:W20"/>
    <mergeCell ref="A4:AC4"/>
    <mergeCell ref="A6:AC6"/>
    <mergeCell ref="A8:AC8"/>
    <mergeCell ref="A9:AC9"/>
    <mergeCell ref="A11:AC11"/>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B66:I66"/>
    <mergeCell ref="B73:I73"/>
    <mergeCell ref="B77:I77"/>
    <mergeCell ref="B68:I68"/>
    <mergeCell ref="B70:I70"/>
    <mergeCell ref="B72:I72"/>
    <mergeCell ref="B74:I74"/>
    <mergeCell ref="B75:I75"/>
  </mergeCells>
  <conditionalFormatting sqref="J52:K52">
    <cfRule type="cellIs" dxfId="51" priority="77" operator="notEqual">
      <formula>0</formula>
    </cfRule>
  </conditionalFormatting>
  <conditionalFormatting sqref="J31:J34">
    <cfRule type="cellIs" dxfId="50" priority="75" operator="notEqual">
      <formula>0</formula>
    </cfRule>
  </conditionalFormatting>
  <conditionalFormatting sqref="I58:K64 I51:K51 I43:K43 J35:K35 I25:J35">
    <cfRule type="cellIs" dxfId="49" priority="95" operator="notEqual">
      <formula>0</formula>
    </cfRule>
  </conditionalFormatting>
  <conditionalFormatting sqref="I24:J24">
    <cfRule type="cellIs" dxfId="48" priority="93" operator="notEqual">
      <formula>0</formula>
    </cfRule>
  </conditionalFormatting>
  <conditionalFormatting sqref="I52:K57">
    <cfRule type="cellIs" dxfId="47" priority="80" operator="notEqual">
      <formula>0</formula>
    </cfRule>
  </conditionalFormatting>
  <conditionalFormatting sqref="I24:J24">
    <cfRule type="cellIs" dxfId="46" priority="89" operator="notEqual">
      <formula>0</formula>
    </cfRule>
  </conditionalFormatting>
  <conditionalFormatting sqref="I36:K42">
    <cfRule type="cellIs" dxfId="45" priority="88" operator="notEqual">
      <formula>0</formula>
    </cfRule>
  </conditionalFormatting>
  <conditionalFormatting sqref="I44:K50">
    <cfRule type="cellIs" dxfId="44" priority="87" operator="notEqual">
      <formula>0</formula>
    </cfRule>
  </conditionalFormatting>
  <conditionalFormatting sqref="J53:K57">
    <cfRule type="cellIs" dxfId="43" priority="78" operator="notEqual">
      <formula>0</formula>
    </cfRule>
  </conditionalFormatting>
  <conditionalFormatting sqref="J44:K50">
    <cfRule type="cellIs" dxfId="42" priority="72" operator="notEqual">
      <formula>0</formula>
    </cfRule>
  </conditionalFormatting>
  <conditionalFormatting sqref="J36:K42">
    <cfRule type="cellIs" dxfId="41" priority="69" operator="notEqual">
      <formula>0</formula>
    </cfRule>
  </conditionalFormatting>
  <conditionalFormatting sqref="C58:H64 C51:H51 C43:H43 C34:H35 C25:F33 H25:H33">
    <cfRule type="cellIs" dxfId="40" priority="60" operator="notEqual">
      <formula>0</formula>
    </cfRule>
  </conditionalFormatting>
  <conditionalFormatting sqref="C24:F24 H24">
    <cfRule type="cellIs" dxfId="39" priority="59" operator="notEqual">
      <formula>0</formula>
    </cfRule>
  </conditionalFormatting>
  <conditionalFormatting sqref="C52:H57">
    <cfRule type="cellIs" dxfId="38" priority="55" operator="notEqual">
      <formula>0</formula>
    </cfRule>
  </conditionalFormatting>
  <conditionalFormatting sqref="C24:F24 H24">
    <cfRule type="cellIs" dxfId="37" priority="58" operator="notEqual">
      <formula>0</formula>
    </cfRule>
  </conditionalFormatting>
  <conditionalFormatting sqref="C36:H42">
    <cfRule type="cellIs" dxfId="36" priority="57" operator="notEqual">
      <formula>0</formula>
    </cfRule>
  </conditionalFormatting>
  <conditionalFormatting sqref="C44:H50">
    <cfRule type="cellIs" dxfId="35" priority="56" operator="notEqual">
      <formula>0</formula>
    </cfRule>
  </conditionalFormatting>
  <conditionalFormatting sqref="K35">
    <cfRule type="cellIs" dxfId="33" priority="54" operator="notEqual">
      <formula>0</formula>
    </cfRule>
  </conditionalFormatting>
  <conditionalFormatting sqref="G25:G30">
    <cfRule type="cellIs" dxfId="30" priority="31" operator="notEqual">
      <formula>0</formula>
    </cfRule>
  </conditionalFormatting>
  <conditionalFormatting sqref="G31:G33">
    <cfRule type="cellIs" dxfId="29" priority="28" operator="notEqual">
      <formula>0</formula>
    </cfRule>
  </conditionalFormatting>
  <conditionalFormatting sqref="G24">
    <cfRule type="cellIs" dxfId="28" priority="30" operator="notEqual">
      <formula>0</formula>
    </cfRule>
  </conditionalFormatting>
  <conditionalFormatting sqref="G24">
    <cfRule type="cellIs" dxfId="27" priority="29" operator="notEqual">
      <formula>0</formula>
    </cfRule>
  </conditionalFormatting>
  <conditionalFormatting sqref="L52:AA52">
    <cfRule type="cellIs" dxfId="26" priority="20" operator="notEqual">
      <formula>0</formula>
    </cfRule>
  </conditionalFormatting>
  <conditionalFormatting sqref="L31:AA34">
    <cfRule type="cellIs" dxfId="25" priority="19" operator="notEqual">
      <formula>0</formula>
    </cfRule>
  </conditionalFormatting>
  <conditionalFormatting sqref="L58:AA64 L51:AA51 L43:AA43 L35:AA35 L25:AA30">
    <cfRule type="cellIs" dxfId="24" priority="27" operator="notEqual">
      <formula>0</formula>
    </cfRule>
  </conditionalFormatting>
  <conditionalFormatting sqref="L24:AA24">
    <cfRule type="cellIs" dxfId="23" priority="26" operator="notEqual">
      <formula>0</formula>
    </cfRule>
  </conditionalFormatting>
  <conditionalFormatting sqref="L52:AA57">
    <cfRule type="cellIs" dxfId="22" priority="22" operator="notEqual">
      <formula>0</formula>
    </cfRule>
  </conditionalFormatting>
  <conditionalFormatting sqref="L24:AA24">
    <cfRule type="cellIs" dxfId="21" priority="25" operator="notEqual">
      <formula>0</formula>
    </cfRule>
  </conditionalFormatting>
  <conditionalFormatting sqref="L36:AA42">
    <cfRule type="cellIs" dxfId="20" priority="24" operator="notEqual">
      <formula>0</formula>
    </cfRule>
  </conditionalFormatting>
  <conditionalFormatting sqref="L44:AA50">
    <cfRule type="cellIs" dxfId="19" priority="23" operator="notEqual">
      <formula>0</formula>
    </cfRule>
  </conditionalFormatting>
  <conditionalFormatting sqref="L53:AA57">
    <cfRule type="cellIs" dxfId="18" priority="21" operator="notEqual">
      <formula>0</formula>
    </cfRule>
  </conditionalFormatting>
  <conditionalFormatting sqref="L44:AA50">
    <cfRule type="cellIs" dxfId="17" priority="18" operator="notEqual">
      <formula>0</formula>
    </cfRule>
  </conditionalFormatting>
  <conditionalFormatting sqref="L36:AA42">
    <cfRule type="cellIs" dxfId="16" priority="17" operator="notEqual">
      <formula>0</formula>
    </cfRule>
  </conditionalFormatting>
  <conditionalFormatting sqref="L31:AA34">
    <cfRule type="cellIs" dxfId="15" priority="13" operator="notEqual">
      <formula>0</formula>
    </cfRule>
  </conditionalFormatting>
  <conditionalFormatting sqref="L25:AA30 L35:AA35">
    <cfRule type="cellIs" dxfId="14" priority="16" operator="notEqual">
      <formula>0</formula>
    </cfRule>
  </conditionalFormatting>
  <conditionalFormatting sqref="L24:AA24">
    <cfRule type="cellIs" dxfId="13" priority="15" operator="notEqual">
      <formula>0</formula>
    </cfRule>
  </conditionalFormatting>
  <conditionalFormatting sqref="L24:AA24">
    <cfRule type="cellIs" dxfId="12" priority="14" operator="notEqual">
      <formula>0</formula>
    </cfRule>
  </conditionalFormatting>
  <conditionalFormatting sqref="AC24:AC64">
    <cfRule type="cellIs" dxfId="11" priority="12" operator="notEqual">
      <formula>0</formula>
    </cfRule>
  </conditionalFormatting>
  <conditionalFormatting sqref="AB24:AC64">
    <cfRule type="cellIs" dxfId="10" priority="11" operator="notEqual">
      <formula>0</formula>
    </cfRule>
  </conditionalFormatting>
  <conditionalFormatting sqref="AB24:AB64">
    <cfRule type="cellIs" dxfId="9" priority="10" operator="notEqual">
      <formula>0</formula>
    </cfRule>
  </conditionalFormatting>
  <conditionalFormatting sqref="AB24:AC64">
    <cfRule type="cellIs" dxfId="8" priority="9" operator="notEqual">
      <formula>0</formula>
    </cfRule>
  </conditionalFormatting>
  <conditionalFormatting sqref="K31:K34">
    <cfRule type="cellIs" dxfId="7" priority="5" operator="notEqual">
      <formula>0</formula>
    </cfRule>
  </conditionalFormatting>
  <conditionalFormatting sqref="K25:K30">
    <cfRule type="cellIs" dxfId="6" priority="8" operator="notEqual">
      <formula>0</formula>
    </cfRule>
  </conditionalFormatting>
  <conditionalFormatting sqref="K24">
    <cfRule type="cellIs" dxfId="5" priority="7" operator="notEqual">
      <formula>0</formula>
    </cfRule>
  </conditionalFormatting>
  <conditionalFormatting sqref="K24">
    <cfRule type="cellIs" dxfId="4" priority="6" operator="notEqual">
      <formula>0</formula>
    </cfRule>
  </conditionalFormatting>
  <conditionalFormatting sqref="K31:K34">
    <cfRule type="cellIs" dxfId="3" priority="1" operator="notEqual">
      <formula>0</formula>
    </cfRule>
  </conditionalFormatting>
  <conditionalFormatting sqref="K25:K30">
    <cfRule type="cellIs" dxfId="2" priority="4" operator="notEqual">
      <formula>0</formula>
    </cfRule>
  </conditionalFormatting>
  <conditionalFormatting sqref="K24">
    <cfRule type="cellIs" dxfId="1" priority="3" operator="notEqual">
      <formula>0</formula>
    </cfRule>
  </conditionalFormatting>
  <conditionalFormatting sqref="K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2"/>
  <sheetViews>
    <sheetView view="pageBreakPreview" topLeftCell="O27" zoomScale="85" zoomScaleSheetLayoutView="85" workbookViewId="0">
      <selection activeCell="AD38" sqref="AD38"/>
    </sheetView>
  </sheetViews>
  <sheetFormatPr defaultColWidth="9.140625" defaultRowHeight="15" x14ac:dyDescent="0.25"/>
  <cols>
    <col min="1" max="1" width="6.140625" style="128" customWidth="1"/>
    <col min="2" max="2" width="23.140625" style="128" customWidth="1"/>
    <col min="3" max="3" width="20" style="128" bestFit="1" customWidth="1"/>
    <col min="4" max="4" width="15.140625" style="128" customWidth="1"/>
    <col min="5" max="12" width="7.7109375" style="128" customWidth="1"/>
    <col min="13" max="13" width="10.7109375" style="128" customWidth="1"/>
    <col min="14" max="14" width="61" style="128" customWidth="1"/>
    <col min="15" max="15" width="20" style="128" customWidth="1"/>
    <col min="16" max="17" width="13.42578125" style="128" customWidth="1"/>
    <col min="18" max="18" width="17" style="128" customWidth="1"/>
    <col min="19" max="20" width="9.7109375" style="128" customWidth="1"/>
    <col min="21" max="21" width="11.42578125" style="128" customWidth="1"/>
    <col min="22" max="22" width="12.7109375" style="128" customWidth="1"/>
    <col min="23" max="23" width="23.85546875" style="128" customWidth="1"/>
    <col min="24" max="24" width="10.7109375" style="128" customWidth="1"/>
    <col min="25" max="25" width="22.7109375" style="128" customWidth="1"/>
    <col min="26" max="26" width="7.7109375" style="128" customWidth="1"/>
    <col min="27" max="28" width="10.7109375" style="128" customWidth="1"/>
    <col min="29" max="29" width="18.5703125" style="128" customWidth="1"/>
    <col min="30" max="30" width="10.7109375" style="128" customWidth="1"/>
    <col min="31" max="31" width="15.85546875" style="128" customWidth="1"/>
    <col min="32" max="32" width="27.42578125" style="128" customWidth="1"/>
    <col min="33" max="33" width="11.5703125" style="128" customWidth="1"/>
    <col min="34" max="35" width="10.28515625" style="128" bestFit="1" customWidth="1"/>
    <col min="36" max="36" width="11.7109375" style="128" customWidth="1"/>
    <col min="37" max="37" width="12" style="128" customWidth="1"/>
    <col min="38" max="38" width="12.28515625" style="128" customWidth="1"/>
    <col min="39" max="39" width="9.7109375" style="128" customWidth="1"/>
    <col min="40" max="40" width="10.85546875" style="128" customWidth="1"/>
    <col min="41" max="41" width="9.7109375" style="128" customWidth="1"/>
    <col min="42" max="42" width="12.42578125" style="128" customWidth="1"/>
    <col min="43" max="43" width="12" style="128" customWidth="1"/>
    <col min="44" max="44" width="14.140625" style="128" customWidth="1"/>
    <col min="45" max="46" width="13.28515625" style="128" customWidth="1"/>
    <col min="47" max="47" width="17.42578125" style="128" customWidth="1"/>
    <col min="48" max="48" width="44.28515625" style="128" customWidth="1"/>
    <col min="49" max="16384" width="9.140625" style="128"/>
  </cols>
  <sheetData>
    <row r="1" spans="1:48" s="202" customFormat="1" ht="18.75" x14ac:dyDescent="0.25">
      <c r="AV1" s="4" t="s">
        <v>66</v>
      </c>
    </row>
    <row r="2" spans="1:48" s="202" customFormat="1" ht="18.75" x14ac:dyDescent="0.3">
      <c r="AV2" s="1" t="s">
        <v>8</v>
      </c>
    </row>
    <row r="3" spans="1:48" s="202" customFormat="1" ht="18.75" x14ac:dyDescent="0.3">
      <c r="AV3" s="1" t="s">
        <v>65</v>
      </c>
    </row>
    <row r="4" spans="1:48" s="202" customFormat="1" ht="18.75" x14ac:dyDescent="0.3">
      <c r="AV4" s="1"/>
    </row>
    <row r="5" spans="1:48" s="202" customFormat="1" ht="18.75" customHeight="1" x14ac:dyDescent="0.25">
      <c r="A5" s="430" t="str">
        <f>'1. паспорт местоположение'!A5:C5</f>
        <v>Год раскрытия информации: 2025 год</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0"/>
      <c r="AM5" s="430"/>
      <c r="AN5" s="430"/>
      <c r="AO5" s="430"/>
      <c r="AP5" s="430"/>
      <c r="AQ5" s="430"/>
      <c r="AR5" s="430"/>
      <c r="AS5" s="430"/>
      <c r="AT5" s="430"/>
      <c r="AU5" s="430"/>
      <c r="AV5" s="430"/>
    </row>
    <row r="6" spans="1:48" s="202" customFormat="1" ht="18.75" x14ac:dyDescent="0.3">
      <c r="AV6" s="1"/>
    </row>
    <row r="7" spans="1:48" s="202" customFormat="1" ht="18.75" x14ac:dyDescent="0.25">
      <c r="A7" s="494" t="s">
        <v>7</v>
      </c>
      <c r="B7" s="494"/>
      <c r="C7" s="494"/>
      <c r="D7" s="494"/>
      <c r="E7" s="494"/>
      <c r="F7" s="494"/>
      <c r="G7" s="494"/>
      <c r="H7" s="494"/>
      <c r="I7" s="494"/>
      <c r="J7" s="494"/>
      <c r="K7" s="494"/>
      <c r="L7" s="494"/>
      <c r="M7" s="494"/>
      <c r="N7" s="494"/>
      <c r="O7" s="494"/>
      <c r="P7" s="494"/>
      <c r="Q7" s="494"/>
      <c r="R7" s="494"/>
      <c r="S7" s="494"/>
      <c r="T7" s="494"/>
      <c r="U7" s="494"/>
      <c r="V7" s="494"/>
      <c r="W7" s="494"/>
      <c r="X7" s="494"/>
      <c r="Y7" s="494"/>
      <c r="Z7" s="494"/>
      <c r="AA7" s="494"/>
      <c r="AB7" s="494"/>
      <c r="AC7" s="494"/>
      <c r="AD7" s="494"/>
      <c r="AE7" s="494"/>
      <c r="AF7" s="494"/>
      <c r="AG7" s="494"/>
      <c r="AH7" s="494"/>
      <c r="AI7" s="494"/>
      <c r="AJ7" s="494"/>
      <c r="AK7" s="494"/>
      <c r="AL7" s="494"/>
      <c r="AM7" s="494"/>
      <c r="AN7" s="494"/>
      <c r="AO7" s="494"/>
      <c r="AP7" s="494"/>
      <c r="AQ7" s="494"/>
      <c r="AR7" s="494"/>
      <c r="AS7" s="494"/>
      <c r="AT7" s="494"/>
      <c r="AU7" s="494"/>
      <c r="AV7" s="494"/>
    </row>
    <row r="8" spans="1:48" s="202" customFormat="1" ht="18.75" x14ac:dyDescent="0.25">
      <c r="A8" s="494"/>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c r="AD8" s="494"/>
      <c r="AE8" s="494"/>
      <c r="AF8" s="494"/>
      <c r="AG8" s="494"/>
      <c r="AH8" s="494"/>
      <c r="AI8" s="494"/>
      <c r="AJ8" s="494"/>
      <c r="AK8" s="494"/>
      <c r="AL8" s="494"/>
      <c r="AM8" s="494"/>
      <c r="AN8" s="494"/>
      <c r="AO8" s="494"/>
      <c r="AP8" s="494"/>
      <c r="AQ8" s="494"/>
      <c r="AR8" s="494"/>
      <c r="AS8" s="494"/>
      <c r="AT8" s="494"/>
      <c r="AU8" s="494"/>
      <c r="AV8" s="494"/>
    </row>
    <row r="9" spans="1:48" s="202" customFormat="1" x14ac:dyDescent="0.25">
      <c r="A9" s="532" t="str">
        <f>'1. паспорт местоположение'!A9:C9</f>
        <v>Акционерное общество "Россети Янтарь" ДЗО  ПАО "Россети"</v>
      </c>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c r="AB9" s="532"/>
      <c r="AC9" s="532"/>
      <c r="AD9" s="532"/>
      <c r="AE9" s="532"/>
      <c r="AF9" s="532"/>
      <c r="AG9" s="532"/>
      <c r="AH9" s="532"/>
      <c r="AI9" s="532"/>
      <c r="AJ9" s="532"/>
      <c r="AK9" s="532"/>
      <c r="AL9" s="532"/>
      <c r="AM9" s="532"/>
      <c r="AN9" s="532"/>
      <c r="AO9" s="532"/>
      <c r="AP9" s="532"/>
      <c r="AQ9" s="532"/>
      <c r="AR9" s="532"/>
      <c r="AS9" s="532"/>
      <c r="AT9" s="532"/>
      <c r="AU9" s="532"/>
      <c r="AV9" s="532"/>
    </row>
    <row r="10" spans="1:48" s="202" customFormat="1" ht="15.75" x14ac:dyDescent="0.25">
      <c r="A10" s="496" t="s">
        <v>6</v>
      </c>
      <c r="B10" s="496"/>
      <c r="C10" s="496"/>
      <c r="D10" s="496"/>
      <c r="E10" s="496"/>
      <c r="F10" s="496"/>
      <c r="G10" s="496"/>
      <c r="H10" s="496"/>
      <c r="I10" s="496"/>
      <c r="J10" s="496"/>
      <c r="K10" s="496"/>
      <c r="L10" s="496"/>
      <c r="M10" s="496"/>
      <c r="N10" s="496"/>
      <c r="O10" s="496"/>
      <c r="P10" s="496"/>
      <c r="Q10" s="496"/>
      <c r="R10" s="496"/>
      <c r="S10" s="496"/>
      <c r="T10" s="496"/>
      <c r="U10" s="496"/>
      <c r="V10" s="496"/>
      <c r="W10" s="496"/>
      <c r="X10" s="496"/>
      <c r="Y10" s="496"/>
      <c r="Z10" s="496"/>
      <c r="AA10" s="496"/>
      <c r="AB10" s="496"/>
      <c r="AC10" s="496"/>
      <c r="AD10" s="496"/>
      <c r="AE10" s="496"/>
      <c r="AF10" s="496"/>
      <c r="AG10" s="496"/>
      <c r="AH10" s="496"/>
      <c r="AI10" s="496"/>
      <c r="AJ10" s="496"/>
      <c r="AK10" s="496"/>
      <c r="AL10" s="496"/>
      <c r="AM10" s="496"/>
      <c r="AN10" s="496"/>
      <c r="AO10" s="496"/>
      <c r="AP10" s="496"/>
      <c r="AQ10" s="496"/>
      <c r="AR10" s="496"/>
      <c r="AS10" s="496"/>
      <c r="AT10" s="496"/>
      <c r="AU10" s="496"/>
      <c r="AV10" s="496"/>
    </row>
    <row r="11" spans="1:48" s="202" customFormat="1" ht="18.75" x14ac:dyDescent="0.25">
      <c r="A11" s="494"/>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c r="AD11" s="494"/>
      <c r="AE11" s="494"/>
      <c r="AF11" s="494"/>
      <c r="AG11" s="494"/>
      <c r="AH11" s="494"/>
      <c r="AI11" s="494"/>
      <c r="AJ11" s="494"/>
      <c r="AK11" s="494"/>
      <c r="AL11" s="494"/>
      <c r="AM11" s="494"/>
      <c r="AN11" s="494"/>
      <c r="AO11" s="494"/>
      <c r="AP11" s="494"/>
      <c r="AQ11" s="494"/>
      <c r="AR11" s="494"/>
      <c r="AS11" s="494"/>
      <c r="AT11" s="494"/>
      <c r="AU11" s="494"/>
      <c r="AV11" s="494"/>
    </row>
    <row r="12" spans="1:48" s="202" customFormat="1" x14ac:dyDescent="0.25">
      <c r="A12" s="532" t="str">
        <f>'1. паспорт местоположение'!A12:C12</f>
        <v>N_21-0947</v>
      </c>
      <c r="B12" s="532"/>
      <c r="C12" s="532"/>
      <c r="D12" s="532"/>
      <c r="E12" s="532"/>
      <c r="F12" s="532"/>
      <c r="G12" s="532"/>
      <c r="H12" s="532"/>
      <c r="I12" s="532"/>
      <c r="J12" s="532"/>
      <c r="K12" s="532"/>
      <c r="L12" s="532"/>
      <c r="M12" s="532"/>
      <c r="N12" s="532"/>
      <c r="O12" s="532"/>
      <c r="P12" s="532"/>
      <c r="Q12" s="532"/>
      <c r="R12" s="532"/>
      <c r="S12" s="532"/>
      <c r="T12" s="532"/>
      <c r="U12" s="532"/>
      <c r="V12" s="532"/>
      <c r="W12" s="532"/>
      <c r="X12" s="532"/>
      <c r="Y12" s="532"/>
      <c r="Z12" s="532"/>
      <c r="AA12" s="532"/>
      <c r="AB12" s="532"/>
      <c r="AC12" s="532"/>
      <c r="AD12" s="532"/>
      <c r="AE12" s="532"/>
      <c r="AF12" s="532"/>
      <c r="AG12" s="532"/>
      <c r="AH12" s="532"/>
      <c r="AI12" s="532"/>
      <c r="AJ12" s="532"/>
      <c r="AK12" s="532"/>
      <c r="AL12" s="532"/>
      <c r="AM12" s="532"/>
      <c r="AN12" s="532"/>
      <c r="AO12" s="532"/>
      <c r="AP12" s="532"/>
      <c r="AQ12" s="532"/>
      <c r="AR12" s="532"/>
      <c r="AS12" s="532"/>
      <c r="AT12" s="532"/>
      <c r="AU12" s="532"/>
      <c r="AV12" s="532"/>
    </row>
    <row r="13" spans="1:48" s="202" customFormat="1" ht="15.75" x14ac:dyDescent="0.25">
      <c r="A13" s="496" t="s">
        <v>5</v>
      </c>
      <c r="B13" s="496"/>
      <c r="C13" s="496"/>
      <c r="D13" s="496"/>
      <c r="E13" s="496"/>
      <c r="F13" s="496"/>
      <c r="G13" s="496"/>
      <c r="H13" s="496"/>
      <c r="I13" s="496"/>
      <c r="J13" s="496"/>
      <c r="K13" s="496"/>
      <c r="L13" s="496"/>
      <c r="M13" s="496"/>
      <c r="N13" s="496"/>
      <c r="O13" s="496"/>
      <c r="P13" s="496"/>
      <c r="Q13" s="496"/>
      <c r="R13" s="496"/>
      <c r="S13" s="496"/>
      <c r="T13" s="496"/>
      <c r="U13" s="496"/>
      <c r="V13" s="496"/>
      <c r="W13" s="496"/>
      <c r="X13" s="496"/>
      <c r="Y13" s="496"/>
      <c r="Z13" s="496"/>
      <c r="AA13" s="496"/>
      <c r="AB13" s="496"/>
      <c r="AC13" s="496"/>
      <c r="AD13" s="496"/>
      <c r="AE13" s="496"/>
      <c r="AF13" s="496"/>
      <c r="AG13" s="496"/>
      <c r="AH13" s="496"/>
      <c r="AI13" s="496"/>
      <c r="AJ13" s="496"/>
      <c r="AK13" s="496"/>
      <c r="AL13" s="496"/>
      <c r="AM13" s="496"/>
      <c r="AN13" s="496"/>
      <c r="AO13" s="496"/>
      <c r="AP13" s="496"/>
      <c r="AQ13" s="496"/>
      <c r="AR13" s="496"/>
      <c r="AS13" s="496"/>
      <c r="AT13" s="496"/>
      <c r="AU13" s="496"/>
      <c r="AV13" s="496"/>
    </row>
    <row r="14" spans="1:48" s="202" customFormat="1" ht="18.75" x14ac:dyDescent="0.25">
      <c r="A14" s="533"/>
      <c r="B14" s="533"/>
      <c r="C14" s="533"/>
      <c r="D14" s="533"/>
      <c r="E14" s="533"/>
      <c r="F14" s="533"/>
      <c r="G14" s="533"/>
      <c r="H14" s="533"/>
      <c r="I14" s="533"/>
      <c r="J14" s="533"/>
      <c r="K14" s="533"/>
      <c r="L14" s="533"/>
      <c r="M14" s="533"/>
      <c r="N14" s="533"/>
      <c r="O14" s="533"/>
      <c r="P14" s="533"/>
      <c r="Q14" s="533"/>
      <c r="R14" s="533"/>
      <c r="S14" s="533"/>
      <c r="T14" s="533"/>
      <c r="U14" s="533"/>
      <c r="V14" s="533"/>
      <c r="W14" s="533"/>
      <c r="X14" s="533"/>
      <c r="Y14" s="533"/>
      <c r="Z14" s="533"/>
      <c r="AA14" s="533"/>
      <c r="AB14" s="533"/>
      <c r="AC14" s="533"/>
      <c r="AD14" s="533"/>
      <c r="AE14" s="533"/>
      <c r="AF14" s="533"/>
      <c r="AG14" s="533"/>
      <c r="AH14" s="533"/>
      <c r="AI14" s="533"/>
      <c r="AJ14" s="533"/>
      <c r="AK14" s="533"/>
      <c r="AL14" s="533"/>
      <c r="AM14" s="533"/>
      <c r="AN14" s="533"/>
      <c r="AO14" s="533"/>
      <c r="AP14" s="533"/>
      <c r="AQ14" s="533"/>
      <c r="AR14" s="533"/>
      <c r="AS14" s="533"/>
      <c r="AT14" s="533"/>
      <c r="AU14" s="533"/>
      <c r="AV14" s="533"/>
    </row>
    <row r="15" spans="1:48" s="202" customFormat="1" x14ac:dyDescent="0.25">
      <c r="A15" s="532" t="str">
        <f>'1. паспорт местоположение'!A15</f>
        <v>Строительство ТП 15/0,4 кВ, 2-х ЛЭП 15 кВ от ЗРУ 15 кВ ПС 110 кВ О-10, ЛЭП 0,4 кВ, организация системы учета электроэнергии в г. Зеленоградске, п. Вишневое</v>
      </c>
      <c r="B15" s="532"/>
      <c r="C15" s="532"/>
      <c r="D15" s="532"/>
      <c r="E15" s="532"/>
      <c r="F15" s="532"/>
      <c r="G15" s="532"/>
      <c r="H15" s="532"/>
      <c r="I15" s="532"/>
      <c r="J15" s="532"/>
      <c r="K15" s="532"/>
      <c r="L15" s="532"/>
      <c r="M15" s="532"/>
      <c r="N15" s="532"/>
      <c r="O15" s="532"/>
      <c r="P15" s="532"/>
      <c r="Q15" s="532"/>
      <c r="R15" s="532"/>
      <c r="S15" s="532"/>
      <c r="T15" s="532"/>
      <c r="U15" s="532"/>
      <c r="V15" s="532"/>
      <c r="W15" s="532"/>
      <c r="X15" s="532"/>
      <c r="Y15" s="532"/>
      <c r="Z15" s="532"/>
      <c r="AA15" s="532"/>
      <c r="AB15" s="532"/>
      <c r="AC15" s="532"/>
      <c r="AD15" s="532"/>
      <c r="AE15" s="532"/>
      <c r="AF15" s="532"/>
      <c r="AG15" s="532"/>
      <c r="AH15" s="532"/>
      <c r="AI15" s="532"/>
      <c r="AJ15" s="532"/>
      <c r="AK15" s="532"/>
      <c r="AL15" s="532"/>
      <c r="AM15" s="532"/>
      <c r="AN15" s="532"/>
      <c r="AO15" s="532"/>
      <c r="AP15" s="532"/>
      <c r="AQ15" s="532"/>
      <c r="AR15" s="532"/>
      <c r="AS15" s="532"/>
      <c r="AT15" s="532"/>
      <c r="AU15" s="532"/>
      <c r="AV15" s="532"/>
    </row>
    <row r="16" spans="1:48" s="202" customFormat="1" ht="15.75" x14ac:dyDescent="0.25">
      <c r="A16" s="496" t="s">
        <v>4</v>
      </c>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c r="AD16" s="496"/>
      <c r="AE16" s="496"/>
      <c r="AF16" s="496"/>
      <c r="AG16" s="496"/>
      <c r="AH16" s="496"/>
      <c r="AI16" s="496"/>
      <c r="AJ16" s="496"/>
      <c r="AK16" s="496"/>
      <c r="AL16" s="496"/>
      <c r="AM16" s="496"/>
      <c r="AN16" s="496"/>
      <c r="AO16" s="496"/>
      <c r="AP16" s="496"/>
      <c r="AQ16" s="496"/>
      <c r="AR16" s="496"/>
      <c r="AS16" s="496"/>
      <c r="AT16" s="496"/>
      <c r="AU16" s="496"/>
      <c r="AV16" s="496"/>
    </row>
    <row r="17" spans="1:48" s="202" customFormat="1" x14ac:dyDescent="0.25">
      <c r="A17" s="530"/>
      <c r="B17" s="530"/>
      <c r="C17" s="530"/>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530"/>
      <c r="AB17" s="530"/>
      <c r="AC17" s="530"/>
      <c r="AD17" s="530"/>
      <c r="AE17" s="530"/>
      <c r="AF17" s="530"/>
      <c r="AG17" s="530"/>
      <c r="AH17" s="530"/>
      <c r="AI17" s="530"/>
      <c r="AJ17" s="530"/>
      <c r="AK17" s="530"/>
      <c r="AL17" s="530"/>
      <c r="AM17" s="530"/>
      <c r="AN17" s="530"/>
      <c r="AO17" s="530"/>
      <c r="AP17" s="530"/>
      <c r="AQ17" s="530"/>
      <c r="AR17" s="530"/>
      <c r="AS17" s="530"/>
      <c r="AT17" s="530"/>
      <c r="AU17" s="530"/>
      <c r="AV17" s="530"/>
    </row>
    <row r="18" spans="1:48" s="202" customFormat="1" ht="14.25" customHeight="1" x14ac:dyDescent="0.25">
      <c r="A18" s="530"/>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530"/>
      <c r="AB18" s="530"/>
      <c r="AC18" s="530"/>
      <c r="AD18" s="530"/>
      <c r="AE18" s="530"/>
      <c r="AF18" s="530"/>
      <c r="AG18" s="530"/>
      <c r="AH18" s="530"/>
      <c r="AI18" s="530"/>
      <c r="AJ18" s="530"/>
      <c r="AK18" s="530"/>
      <c r="AL18" s="530"/>
      <c r="AM18" s="530"/>
      <c r="AN18" s="530"/>
      <c r="AO18" s="530"/>
      <c r="AP18" s="530"/>
      <c r="AQ18" s="530"/>
      <c r="AR18" s="530"/>
      <c r="AS18" s="530"/>
      <c r="AT18" s="530"/>
      <c r="AU18" s="530"/>
      <c r="AV18" s="530"/>
    </row>
    <row r="19" spans="1:48" s="202" customFormat="1" x14ac:dyDescent="0.25">
      <c r="A19" s="530"/>
      <c r="B19" s="530"/>
      <c r="C19" s="530"/>
      <c r="D19" s="530"/>
      <c r="E19" s="530"/>
      <c r="F19" s="530"/>
      <c r="G19" s="530"/>
      <c r="H19" s="530"/>
      <c r="I19" s="530"/>
      <c r="J19" s="530"/>
      <c r="K19" s="530"/>
      <c r="L19" s="530"/>
      <c r="M19" s="530"/>
      <c r="N19" s="530"/>
      <c r="O19" s="530"/>
      <c r="P19" s="530"/>
      <c r="Q19" s="530"/>
      <c r="R19" s="530"/>
      <c r="S19" s="530"/>
      <c r="T19" s="530"/>
      <c r="U19" s="530"/>
      <c r="V19" s="530"/>
      <c r="W19" s="530"/>
      <c r="X19" s="530"/>
      <c r="Y19" s="530"/>
      <c r="Z19" s="530"/>
      <c r="AA19" s="530"/>
      <c r="AB19" s="530"/>
      <c r="AC19" s="530"/>
      <c r="AD19" s="530"/>
      <c r="AE19" s="530"/>
      <c r="AF19" s="530"/>
      <c r="AG19" s="530"/>
      <c r="AH19" s="530"/>
      <c r="AI19" s="530"/>
      <c r="AJ19" s="530"/>
      <c r="AK19" s="530"/>
      <c r="AL19" s="530"/>
      <c r="AM19" s="530"/>
      <c r="AN19" s="530"/>
      <c r="AO19" s="530"/>
      <c r="AP19" s="530"/>
      <c r="AQ19" s="530"/>
      <c r="AR19" s="530"/>
      <c r="AS19" s="530"/>
      <c r="AT19" s="530"/>
      <c r="AU19" s="530"/>
      <c r="AV19" s="530"/>
    </row>
    <row r="20" spans="1:48" s="203" customFormat="1" x14ac:dyDescent="0.25">
      <c r="A20" s="531"/>
      <c r="B20" s="531"/>
      <c r="C20" s="531"/>
      <c r="D20" s="531"/>
      <c r="E20" s="531"/>
      <c r="F20" s="531"/>
      <c r="G20" s="531"/>
      <c r="H20" s="531"/>
      <c r="I20" s="531"/>
      <c r="J20" s="531"/>
      <c r="K20" s="531"/>
      <c r="L20" s="531"/>
      <c r="M20" s="531"/>
      <c r="N20" s="531"/>
      <c r="O20" s="531"/>
      <c r="P20" s="531"/>
      <c r="Q20" s="531"/>
      <c r="R20" s="531"/>
      <c r="S20" s="531"/>
      <c r="T20" s="531"/>
      <c r="U20" s="531"/>
      <c r="V20" s="531"/>
      <c r="W20" s="531"/>
      <c r="X20" s="531"/>
      <c r="Y20" s="531"/>
      <c r="Z20" s="531"/>
      <c r="AA20" s="531"/>
      <c r="AB20" s="531"/>
      <c r="AC20" s="531"/>
      <c r="AD20" s="531"/>
      <c r="AE20" s="531"/>
      <c r="AF20" s="531"/>
      <c r="AG20" s="531"/>
      <c r="AH20" s="531"/>
      <c r="AI20" s="531"/>
      <c r="AJ20" s="531"/>
      <c r="AK20" s="531"/>
      <c r="AL20" s="531"/>
      <c r="AM20" s="531"/>
      <c r="AN20" s="531"/>
      <c r="AO20" s="531"/>
      <c r="AP20" s="531"/>
      <c r="AQ20" s="531"/>
      <c r="AR20" s="531"/>
      <c r="AS20" s="531"/>
      <c r="AT20" s="531"/>
      <c r="AU20" s="531"/>
      <c r="AV20" s="531"/>
    </row>
    <row r="21" spans="1:48" s="203" customFormat="1" x14ac:dyDescent="0.25">
      <c r="A21" s="534" t="s">
        <v>372</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129" customFormat="1" ht="58.5" customHeight="1" x14ac:dyDescent="0.25">
      <c r="A22" s="535" t="s">
        <v>50</v>
      </c>
      <c r="B22" s="538" t="s">
        <v>22</v>
      </c>
      <c r="C22" s="535" t="s">
        <v>49</v>
      </c>
      <c r="D22" s="535" t="s">
        <v>48</v>
      </c>
      <c r="E22" s="541" t="s">
        <v>381</v>
      </c>
      <c r="F22" s="542"/>
      <c r="G22" s="542"/>
      <c r="H22" s="542"/>
      <c r="I22" s="542"/>
      <c r="J22" s="542"/>
      <c r="K22" s="542"/>
      <c r="L22" s="543"/>
      <c r="M22" s="535" t="s">
        <v>47</v>
      </c>
      <c r="N22" s="535" t="s">
        <v>46</v>
      </c>
      <c r="O22" s="535" t="s">
        <v>45</v>
      </c>
      <c r="P22" s="544" t="s">
        <v>208</v>
      </c>
      <c r="Q22" s="544" t="s">
        <v>44</v>
      </c>
      <c r="R22" s="544" t="s">
        <v>43</v>
      </c>
      <c r="S22" s="544" t="s">
        <v>42</v>
      </c>
      <c r="T22" s="544"/>
      <c r="U22" s="545" t="s">
        <v>41</v>
      </c>
      <c r="V22" s="545" t="s">
        <v>40</v>
      </c>
      <c r="W22" s="544" t="s">
        <v>39</v>
      </c>
      <c r="X22" s="544" t="s">
        <v>38</v>
      </c>
      <c r="Y22" s="544" t="s">
        <v>37</v>
      </c>
      <c r="Z22" s="556" t="s">
        <v>36</v>
      </c>
      <c r="AA22" s="544" t="s">
        <v>35</v>
      </c>
      <c r="AB22" s="544" t="s">
        <v>34</v>
      </c>
      <c r="AC22" s="544" t="s">
        <v>33</v>
      </c>
      <c r="AD22" s="544" t="s">
        <v>32</v>
      </c>
      <c r="AE22" s="544" t="s">
        <v>31</v>
      </c>
      <c r="AF22" s="544" t="s">
        <v>30</v>
      </c>
      <c r="AG22" s="544"/>
      <c r="AH22" s="544"/>
      <c r="AI22" s="544"/>
      <c r="AJ22" s="544"/>
      <c r="AK22" s="544"/>
      <c r="AL22" s="544" t="s">
        <v>29</v>
      </c>
      <c r="AM22" s="544"/>
      <c r="AN22" s="544"/>
      <c r="AO22" s="544"/>
      <c r="AP22" s="544" t="s">
        <v>28</v>
      </c>
      <c r="AQ22" s="544"/>
      <c r="AR22" s="544" t="s">
        <v>27</v>
      </c>
      <c r="AS22" s="544" t="s">
        <v>26</v>
      </c>
      <c r="AT22" s="544" t="s">
        <v>25</v>
      </c>
      <c r="AU22" s="544" t="s">
        <v>24</v>
      </c>
      <c r="AV22" s="544" t="s">
        <v>23</v>
      </c>
    </row>
    <row r="23" spans="1:48" s="129" customFormat="1" ht="64.5" customHeight="1" x14ac:dyDescent="0.25">
      <c r="A23" s="536"/>
      <c r="B23" s="539"/>
      <c r="C23" s="536"/>
      <c r="D23" s="536"/>
      <c r="E23" s="548" t="s">
        <v>21</v>
      </c>
      <c r="F23" s="550" t="s">
        <v>125</v>
      </c>
      <c r="G23" s="550" t="s">
        <v>124</v>
      </c>
      <c r="H23" s="550" t="s">
        <v>123</v>
      </c>
      <c r="I23" s="554" t="s">
        <v>318</v>
      </c>
      <c r="J23" s="554" t="s">
        <v>319</v>
      </c>
      <c r="K23" s="554" t="s">
        <v>320</v>
      </c>
      <c r="L23" s="550" t="s">
        <v>74</v>
      </c>
      <c r="M23" s="536"/>
      <c r="N23" s="536"/>
      <c r="O23" s="536"/>
      <c r="P23" s="544"/>
      <c r="Q23" s="544"/>
      <c r="R23" s="544"/>
      <c r="S23" s="552" t="s">
        <v>2</v>
      </c>
      <c r="T23" s="552" t="s">
        <v>9</v>
      </c>
      <c r="U23" s="545"/>
      <c r="V23" s="545"/>
      <c r="W23" s="544"/>
      <c r="X23" s="544"/>
      <c r="Y23" s="544"/>
      <c r="Z23" s="544"/>
      <c r="AA23" s="544"/>
      <c r="AB23" s="544"/>
      <c r="AC23" s="544"/>
      <c r="AD23" s="544"/>
      <c r="AE23" s="544"/>
      <c r="AF23" s="544" t="s">
        <v>20</v>
      </c>
      <c r="AG23" s="544"/>
      <c r="AH23" s="544" t="s">
        <v>19</v>
      </c>
      <c r="AI23" s="544"/>
      <c r="AJ23" s="535" t="s">
        <v>18</v>
      </c>
      <c r="AK23" s="535" t="s">
        <v>17</v>
      </c>
      <c r="AL23" s="535" t="s">
        <v>16</v>
      </c>
      <c r="AM23" s="535" t="s">
        <v>15</v>
      </c>
      <c r="AN23" s="535" t="s">
        <v>14</v>
      </c>
      <c r="AO23" s="535" t="s">
        <v>13</v>
      </c>
      <c r="AP23" s="535" t="s">
        <v>12</v>
      </c>
      <c r="AQ23" s="546" t="s">
        <v>9</v>
      </c>
      <c r="AR23" s="544"/>
      <c r="AS23" s="544"/>
      <c r="AT23" s="544"/>
      <c r="AU23" s="544"/>
      <c r="AV23" s="544"/>
    </row>
    <row r="24" spans="1:48" s="129" customFormat="1" ht="96.75" customHeight="1" x14ac:dyDescent="0.25">
      <c r="A24" s="537"/>
      <c r="B24" s="540"/>
      <c r="C24" s="537"/>
      <c r="D24" s="537"/>
      <c r="E24" s="549"/>
      <c r="F24" s="551"/>
      <c r="G24" s="551"/>
      <c r="H24" s="551"/>
      <c r="I24" s="555"/>
      <c r="J24" s="555"/>
      <c r="K24" s="555"/>
      <c r="L24" s="551"/>
      <c r="M24" s="537"/>
      <c r="N24" s="537"/>
      <c r="O24" s="537"/>
      <c r="P24" s="544"/>
      <c r="Q24" s="544"/>
      <c r="R24" s="544"/>
      <c r="S24" s="553"/>
      <c r="T24" s="553"/>
      <c r="U24" s="545"/>
      <c r="V24" s="545"/>
      <c r="W24" s="544"/>
      <c r="X24" s="544"/>
      <c r="Y24" s="544"/>
      <c r="Z24" s="544"/>
      <c r="AA24" s="544"/>
      <c r="AB24" s="544"/>
      <c r="AC24" s="544"/>
      <c r="AD24" s="544"/>
      <c r="AE24" s="544"/>
      <c r="AF24" s="130" t="s">
        <v>11</v>
      </c>
      <c r="AG24" s="130" t="s">
        <v>10</v>
      </c>
      <c r="AH24" s="131" t="s">
        <v>2</v>
      </c>
      <c r="AI24" s="131" t="s">
        <v>9</v>
      </c>
      <c r="AJ24" s="537"/>
      <c r="AK24" s="537"/>
      <c r="AL24" s="537"/>
      <c r="AM24" s="537"/>
      <c r="AN24" s="537"/>
      <c r="AO24" s="537"/>
      <c r="AP24" s="537"/>
      <c r="AQ24" s="547"/>
      <c r="AR24" s="544"/>
      <c r="AS24" s="544"/>
      <c r="AT24" s="544"/>
      <c r="AU24" s="544"/>
      <c r="AV24" s="544"/>
    </row>
    <row r="25" spans="1:48" s="133" customFormat="1" ht="11.25" x14ac:dyDescent="0.2">
      <c r="A25" s="132">
        <v>1</v>
      </c>
      <c r="B25" s="132">
        <v>2</v>
      </c>
      <c r="C25" s="132">
        <v>4</v>
      </c>
      <c r="D25" s="132">
        <v>5</v>
      </c>
      <c r="E25" s="132">
        <v>6</v>
      </c>
      <c r="F25" s="132">
        <f t="shared" ref="F25:AV25" si="0">E25+1</f>
        <v>7</v>
      </c>
      <c r="G25" s="132">
        <f t="shared" si="0"/>
        <v>8</v>
      </c>
      <c r="H25" s="132">
        <f t="shared" si="0"/>
        <v>9</v>
      </c>
      <c r="I25" s="132">
        <f t="shared" si="0"/>
        <v>10</v>
      </c>
      <c r="J25" s="132">
        <f t="shared" si="0"/>
        <v>11</v>
      </c>
      <c r="K25" s="132">
        <f t="shared" si="0"/>
        <v>12</v>
      </c>
      <c r="L25" s="132">
        <f t="shared" si="0"/>
        <v>13</v>
      </c>
      <c r="M25" s="132">
        <f t="shared" si="0"/>
        <v>14</v>
      </c>
      <c r="N25" s="132">
        <f t="shared" si="0"/>
        <v>15</v>
      </c>
      <c r="O25" s="132">
        <f t="shared" si="0"/>
        <v>16</v>
      </c>
      <c r="P25" s="132">
        <f t="shared" si="0"/>
        <v>17</v>
      </c>
      <c r="Q25" s="132">
        <f t="shared" si="0"/>
        <v>18</v>
      </c>
      <c r="R25" s="132">
        <f t="shared" si="0"/>
        <v>19</v>
      </c>
      <c r="S25" s="132">
        <f t="shared" si="0"/>
        <v>20</v>
      </c>
      <c r="T25" s="132">
        <f t="shared" si="0"/>
        <v>21</v>
      </c>
      <c r="U25" s="132">
        <f t="shared" si="0"/>
        <v>22</v>
      </c>
      <c r="V25" s="132">
        <f t="shared" si="0"/>
        <v>23</v>
      </c>
      <c r="W25" s="132">
        <f t="shared" si="0"/>
        <v>24</v>
      </c>
      <c r="X25" s="132">
        <f t="shared" si="0"/>
        <v>25</v>
      </c>
      <c r="Y25" s="132">
        <f t="shared" si="0"/>
        <v>26</v>
      </c>
      <c r="Z25" s="132">
        <f t="shared" si="0"/>
        <v>27</v>
      </c>
      <c r="AA25" s="132">
        <f t="shared" si="0"/>
        <v>28</v>
      </c>
      <c r="AB25" s="132">
        <f t="shared" si="0"/>
        <v>29</v>
      </c>
      <c r="AC25" s="132">
        <f t="shared" si="0"/>
        <v>30</v>
      </c>
      <c r="AD25" s="132">
        <f t="shared" si="0"/>
        <v>31</v>
      </c>
      <c r="AE25" s="132">
        <f t="shared" si="0"/>
        <v>32</v>
      </c>
      <c r="AF25" s="132">
        <f t="shared" si="0"/>
        <v>33</v>
      </c>
      <c r="AG25" s="132">
        <f t="shared" si="0"/>
        <v>34</v>
      </c>
      <c r="AH25" s="132">
        <f t="shared" si="0"/>
        <v>35</v>
      </c>
      <c r="AI25" s="132">
        <f t="shared" si="0"/>
        <v>36</v>
      </c>
      <c r="AJ25" s="132">
        <f t="shared" si="0"/>
        <v>37</v>
      </c>
      <c r="AK25" s="132">
        <f t="shared" si="0"/>
        <v>38</v>
      </c>
      <c r="AL25" s="132">
        <f t="shared" si="0"/>
        <v>39</v>
      </c>
      <c r="AM25" s="132">
        <f t="shared" si="0"/>
        <v>40</v>
      </c>
      <c r="AN25" s="132">
        <f t="shared" si="0"/>
        <v>41</v>
      </c>
      <c r="AO25" s="132">
        <f t="shared" si="0"/>
        <v>42</v>
      </c>
      <c r="AP25" s="132">
        <f t="shared" si="0"/>
        <v>43</v>
      </c>
      <c r="AQ25" s="132">
        <f t="shared" si="0"/>
        <v>44</v>
      </c>
      <c r="AR25" s="132">
        <f t="shared" si="0"/>
        <v>45</v>
      </c>
      <c r="AS25" s="132">
        <f t="shared" si="0"/>
        <v>46</v>
      </c>
      <c r="AT25" s="132">
        <f t="shared" si="0"/>
        <v>47</v>
      </c>
      <c r="AU25" s="132">
        <f t="shared" si="0"/>
        <v>48</v>
      </c>
      <c r="AV25" s="132">
        <f t="shared" si="0"/>
        <v>49</v>
      </c>
    </row>
    <row r="26" spans="1:48" s="216" customFormat="1" ht="63.75" x14ac:dyDescent="0.25">
      <c r="A26" s="207">
        <v>1</v>
      </c>
      <c r="B26" s="208" t="s">
        <v>591</v>
      </c>
      <c r="C26" s="208">
        <v>1</v>
      </c>
      <c r="D26" s="209">
        <v>46022</v>
      </c>
      <c r="E26" s="208"/>
      <c r="F26" s="208"/>
      <c r="G26" s="208">
        <f>'3.1. паспорт Техсостояние ПС'!O27</f>
        <v>2</v>
      </c>
      <c r="H26" s="208"/>
      <c r="I26" s="323">
        <f>'3.2 паспорт Техсостояние ЛЭП'!R25</f>
        <v>1.2</v>
      </c>
      <c r="J26" s="210"/>
      <c r="K26" s="323">
        <f>'3.2 паспорт Техсостояние ЛЭП'!R26+'3.2 паспорт Техсостояние ЛЭП'!R27+'3.2 паспорт Техсостояние ЛЭП'!R28</f>
        <v>2.31</v>
      </c>
      <c r="L26" s="208"/>
      <c r="M26" s="211" t="s">
        <v>589</v>
      </c>
      <c r="N26" s="212" t="s">
        <v>612</v>
      </c>
      <c r="O26" s="213" t="s">
        <v>591</v>
      </c>
      <c r="P26" s="214">
        <v>43428.942490000001</v>
      </c>
      <c r="Q26" s="213" t="s">
        <v>613</v>
      </c>
      <c r="R26" s="214">
        <v>43428.942490000001</v>
      </c>
      <c r="S26" s="213" t="s">
        <v>592</v>
      </c>
      <c r="T26" s="213" t="s">
        <v>592</v>
      </c>
      <c r="U26" s="211">
        <v>4</v>
      </c>
      <c r="V26" s="211">
        <v>4</v>
      </c>
      <c r="W26" s="213" t="s">
        <v>614</v>
      </c>
      <c r="X26" s="214">
        <v>43428.942490000001</v>
      </c>
      <c r="Y26" s="211"/>
      <c r="Z26" s="211" t="s">
        <v>62</v>
      </c>
      <c r="AA26" s="214">
        <v>40592.991779999997</v>
      </c>
      <c r="AB26" s="214">
        <v>40592.991779999997</v>
      </c>
      <c r="AC26" s="213" t="s">
        <v>614</v>
      </c>
      <c r="AD26" s="214">
        <f>'8. Общие сведения'!B33*1000</f>
        <v>48711.591400000005</v>
      </c>
      <c r="AE26" s="214"/>
      <c r="AF26" s="211" t="s">
        <v>619</v>
      </c>
      <c r="AG26" s="213" t="s">
        <v>615</v>
      </c>
      <c r="AH26" s="215">
        <v>45046</v>
      </c>
      <c r="AI26" s="215">
        <v>45033</v>
      </c>
      <c r="AJ26" s="215">
        <v>45061</v>
      </c>
      <c r="AK26" s="215">
        <v>45099</v>
      </c>
      <c r="AL26" s="211"/>
      <c r="AM26" s="211"/>
      <c r="AN26" s="211"/>
      <c r="AO26" s="211"/>
      <c r="AP26" s="215">
        <v>45137</v>
      </c>
      <c r="AQ26" s="215">
        <v>45125</v>
      </c>
      <c r="AR26" s="215">
        <v>45137</v>
      </c>
      <c r="AS26" s="215">
        <v>45125</v>
      </c>
      <c r="AT26" s="215">
        <v>45377</v>
      </c>
      <c r="AU26" s="211"/>
      <c r="AV26" s="213"/>
    </row>
    <row r="27" spans="1:48" s="221" customFormat="1" ht="12.75" x14ac:dyDescent="0.25">
      <c r="A27" s="217"/>
      <c r="B27" s="218"/>
      <c r="C27" s="218"/>
      <c r="D27" s="219"/>
      <c r="E27" s="218"/>
      <c r="F27" s="218"/>
      <c r="G27" s="218"/>
      <c r="H27" s="218"/>
      <c r="I27" s="220"/>
      <c r="J27" s="220"/>
      <c r="K27" s="218"/>
      <c r="L27" s="218"/>
      <c r="M27" s="211"/>
      <c r="N27" s="213"/>
      <c r="O27" s="211"/>
      <c r="P27" s="214"/>
      <c r="Q27" s="213"/>
      <c r="R27" s="214"/>
      <c r="S27" s="213"/>
      <c r="T27" s="213"/>
      <c r="U27" s="211"/>
      <c r="V27" s="211"/>
      <c r="W27" s="213" t="s">
        <v>616</v>
      </c>
      <c r="X27" s="214">
        <v>43425</v>
      </c>
      <c r="Y27" s="211" t="s">
        <v>616</v>
      </c>
      <c r="Z27" s="211"/>
      <c r="AA27" s="214"/>
      <c r="AB27" s="214"/>
      <c r="AC27" s="211"/>
      <c r="AD27" s="214"/>
      <c r="AE27" s="214"/>
      <c r="AF27" s="211"/>
      <c r="AG27" s="211"/>
      <c r="AH27" s="215"/>
      <c r="AI27" s="215"/>
      <c r="AJ27" s="215"/>
      <c r="AK27" s="215"/>
      <c r="AL27" s="211"/>
      <c r="AM27" s="211"/>
      <c r="AN27" s="211"/>
      <c r="AO27" s="211"/>
      <c r="AP27" s="211"/>
      <c r="AQ27" s="211"/>
      <c r="AR27" s="211"/>
      <c r="AS27" s="211"/>
      <c r="AT27" s="211"/>
      <c r="AU27" s="211"/>
      <c r="AV27" s="211"/>
    </row>
    <row r="28" spans="1:48" s="221" customFormat="1" ht="12.75" x14ac:dyDescent="0.25">
      <c r="A28" s="217"/>
      <c r="B28" s="218"/>
      <c r="C28" s="218"/>
      <c r="D28" s="219"/>
      <c r="E28" s="218"/>
      <c r="F28" s="218"/>
      <c r="G28" s="218"/>
      <c r="H28" s="218"/>
      <c r="I28" s="220"/>
      <c r="J28" s="220"/>
      <c r="K28" s="218"/>
      <c r="L28" s="218"/>
      <c r="M28" s="211"/>
      <c r="N28" s="213"/>
      <c r="O28" s="211"/>
      <c r="P28" s="214"/>
      <c r="Q28" s="213"/>
      <c r="R28" s="214"/>
      <c r="S28" s="213"/>
      <c r="T28" s="213"/>
      <c r="U28" s="211"/>
      <c r="V28" s="211"/>
      <c r="W28" s="213" t="s">
        <v>617</v>
      </c>
      <c r="X28" s="214">
        <v>43420</v>
      </c>
      <c r="Y28" s="211" t="s">
        <v>617</v>
      </c>
      <c r="Z28" s="211"/>
      <c r="AA28" s="214"/>
      <c r="AB28" s="214"/>
      <c r="AC28" s="211"/>
      <c r="AD28" s="214"/>
      <c r="AE28" s="214"/>
      <c r="AF28" s="211"/>
      <c r="AG28" s="211"/>
      <c r="AH28" s="215"/>
      <c r="AI28" s="215"/>
      <c r="AJ28" s="215"/>
      <c r="AK28" s="215"/>
      <c r="AL28" s="211"/>
      <c r="AM28" s="211"/>
      <c r="AN28" s="211"/>
      <c r="AO28" s="211"/>
      <c r="AP28" s="211"/>
      <c r="AQ28" s="211"/>
      <c r="AR28" s="211"/>
      <c r="AS28" s="211"/>
      <c r="AT28" s="211"/>
      <c r="AU28" s="211"/>
      <c r="AV28" s="211"/>
    </row>
    <row r="29" spans="1:48" s="221" customFormat="1" x14ac:dyDescent="0.25">
      <c r="A29" s="217"/>
      <c r="B29" s="208"/>
      <c r="C29" s="208"/>
      <c r="D29" s="209"/>
      <c r="E29" s="208"/>
      <c r="F29" s="208"/>
      <c r="G29" s="208"/>
      <c r="H29" s="208"/>
      <c r="I29" s="208"/>
      <c r="J29" s="210"/>
      <c r="K29" s="208"/>
      <c r="L29" s="208"/>
      <c r="M29" s="211"/>
      <c r="N29" s="218"/>
      <c r="O29" s="213"/>
      <c r="P29" s="214"/>
      <c r="Q29" s="218"/>
      <c r="R29" s="385"/>
      <c r="S29" s="213"/>
      <c r="T29" s="213"/>
      <c r="U29" s="218"/>
      <c r="V29" s="218"/>
      <c r="W29" s="213" t="s">
        <v>618</v>
      </c>
      <c r="X29" s="214">
        <v>43428.942490000001</v>
      </c>
      <c r="Y29" s="218"/>
      <c r="Z29" s="218"/>
      <c r="AA29" s="214">
        <v>40343.750399999997</v>
      </c>
      <c r="AB29" s="214"/>
      <c r="AC29" s="213"/>
      <c r="AD29" s="214"/>
      <c r="AE29" s="214"/>
      <c r="AF29" s="211"/>
      <c r="AG29" s="386"/>
      <c r="AH29" s="215"/>
      <c r="AI29" s="215"/>
      <c r="AJ29" s="215"/>
      <c r="AK29" s="215"/>
      <c r="AL29" s="211"/>
      <c r="AM29" s="211"/>
      <c r="AN29" s="215"/>
      <c r="AO29" s="213"/>
      <c r="AP29" s="215"/>
      <c r="AQ29" s="215"/>
      <c r="AR29" s="215"/>
      <c r="AS29" s="215"/>
      <c r="AT29" s="215"/>
      <c r="AU29" s="218"/>
      <c r="AV29" s="218"/>
    </row>
    <row r="30" spans="1:48" s="221" customFormat="1" ht="51" x14ac:dyDescent="0.25">
      <c r="A30" s="392">
        <v>2</v>
      </c>
      <c r="B30" s="393" t="s">
        <v>591</v>
      </c>
      <c r="C30" s="393">
        <v>1</v>
      </c>
      <c r="D30" s="394">
        <f>D26</f>
        <v>46022</v>
      </c>
      <c r="E30" s="393"/>
      <c r="F30" s="393"/>
      <c r="G30" s="393">
        <f>G26</f>
        <v>2</v>
      </c>
      <c r="H30" s="393"/>
      <c r="I30" s="395">
        <f>I26</f>
        <v>1.2</v>
      </c>
      <c r="J30" s="395"/>
      <c r="K30" s="400">
        <f>K26</f>
        <v>2.31</v>
      </c>
      <c r="L30" s="393"/>
      <c r="M30" s="396" t="s">
        <v>623</v>
      </c>
      <c r="N30" s="396" t="s">
        <v>624</v>
      </c>
      <c r="O30" s="396" t="s">
        <v>591</v>
      </c>
      <c r="P30" s="397">
        <v>240000</v>
      </c>
      <c r="Q30" s="396" t="s">
        <v>613</v>
      </c>
      <c r="R30" s="396">
        <v>240000</v>
      </c>
      <c r="S30" s="396" t="s">
        <v>592</v>
      </c>
      <c r="T30" s="396" t="s">
        <v>625</v>
      </c>
      <c r="U30" s="396" t="s">
        <v>59</v>
      </c>
      <c r="V30" s="396" t="s">
        <v>59</v>
      </c>
      <c r="W30" s="396" t="s">
        <v>626</v>
      </c>
      <c r="X30" s="397">
        <v>240000</v>
      </c>
      <c r="Y30" s="396"/>
      <c r="Z30" s="396" t="s">
        <v>62</v>
      </c>
      <c r="AA30" s="397">
        <v>240000</v>
      </c>
      <c r="AB30" s="397">
        <v>240000</v>
      </c>
      <c r="AC30" s="396" t="s">
        <v>626</v>
      </c>
      <c r="AD30" s="397">
        <f>'8. Общие сведения'!B50*1000</f>
        <v>15750.65</v>
      </c>
      <c r="AE30" s="397">
        <f>AD30</f>
        <v>15750.65</v>
      </c>
      <c r="AF30" s="398">
        <v>32312197435</v>
      </c>
      <c r="AG30" s="396" t="s">
        <v>615</v>
      </c>
      <c r="AH30" s="399">
        <v>45016</v>
      </c>
      <c r="AI30" s="399">
        <v>45001</v>
      </c>
      <c r="AJ30" s="399">
        <v>45028</v>
      </c>
      <c r="AK30" s="399">
        <v>45065</v>
      </c>
      <c r="AL30" s="396"/>
      <c r="AM30" s="396"/>
      <c r="AN30" s="396"/>
      <c r="AO30" s="396"/>
      <c r="AP30" s="399">
        <v>45107</v>
      </c>
      <c r="AQ30" s="399">
        <v>45104</v>
      </c>
      <c r="AR30" s="399">
        <v>45107</v>
      </c>
      <c r="AS30" s="399">
        <v>45104</v>
      </c>
      <c r="AT30" s="399">
        <v>45280</v>
      </c>
      <c r="AU30" s="396"/>
      <c r="AV30" s="396"/>
    </row>
    <row r="31" spans="1:48" s="221" customFormat="1" ht="25.5" x14ac:dyDescent="0.25">
      <c r="A31" s="392"/>
      <c r="B31" s="393"/>
      <c r="C31" s="393"/>
      <c r="D31" s="394"/>
      <c r="E31" s="393"/>
      <c r="F31" s="393"/>
      <c r="G31" s="393"/>
      <c r="H31" s="393"/>
      <c r="I31" s="395"/>
      <c r="J31" s="395"/>
      <c r="K31" s="393"/>
      <c r="L31" s="393"/>
      <c r="M31" s="396"/>
      <c r="N31" s="396"/>
      <c r="O31" s="396"/>
      <c r="P31" s="397"/>
      <c r="Q31" s="396"/>
      <c r="R31" s="396"/>
      <c r="S31" s="396"/>
      <c r="T31" s="396"/>
      <c r="U31" s="396"/>
      <c r="V31" s="396"/>
      <c r="W31" s="396" t="s">
        <v>627</v>
      </c>
      <c r="X31" s="397"/>
      <c r="Y31" s="396" t="s">
        <v>627</v>
      </c>
      <c r="Z31" s="396"/>
      <c r="AA31" s="397"/>
      <c r="AB31" s="397"/>
      <c r="AC31" s="396"/>
      <c r="AD31" s="397"/>
      <c r="AE31" s="397"/>
      <c r="AF31" s="399"/>
      <c r="AG31" s="396"/>
      <c r="AH31" s="399"/>
      <c r="AI31" s="399"/>
      <c r="AJ31" s="399"/>
      <c r="AK31" s="399"/>
      <c r="AL31" s="396"/>
      <c r="AM31" s="396"/>
      <c r="AN31" s="396"/>
      <c r="AO31" s="396"/>
      <c r="AP31" s="399"/>
      <c r="AQ31" s="399"/>
      <c r="AR31" s="399"/>
      <c r="AS31" s="399"/>
      <c r="AT31" s="399"/>
      <c r="AU31" s="396"/>
      <c r="AV31" s="396"/>
    </row>
    <row r="32" spans="1:48" s="221" customFormat="1" ht="38.25" x14ac:dyDescent="0.25">
      <c r="A32" s="392"/>
      <c r="B32" s="393"/>
      <c r="C32" s="393"/>
      <c r="D32" s="394"/>
      <c r="E32" s="393"/>
      <c r="F32" s="393"/>
      <c r="G32" s="393"/>
      <c r="H32" s="393"/>
      <c r="I32" s="395"/>
      <c r="J32" s="395"/>
      <c r="K32" s="393"/>
      <c r="L32" s="393"/>
      <c r="M32" s="396"/>
      <c r="N32" s="396"/>
      <c r="O32" s="396"/>
      <c r="P32" s="397"/>
      <c r="Q32" s="396"/>
      <c r="R32" s="396"/>
      <c r="S32" s="396"/>
      <c r="T32" s="396"/>
      <c r="U32" s="396"/>
      <c r="V32" s="396"/>
      <c r="W32" s="396" t="s">
        <v>628</v>
      </c>
      <c r="X32" s="397"/>
      <c r="Y32" s="396" t="s">
        <v>628</v>
      </c>
      <c r="Z32" s="396"/>
      <c r="AA32" s="397"/>
      <c r="AB32" s="397"/>
      <c r="AC32" s="396"/>
      <c r="AD32" s="397"/>
      <c r="AE32" s="397"/>
      <c r="AF32" s="399"/>
      <c r="AG32" s="396"/>
      <c r="AH32" s="399"/>
      <c r="AI32" s="399"/>
      <c r="AJ32" s="399"/>
      <c r="AK32" s="399"/>
      <c r="AL32" s="396"/>
      <c r="AM32" s="396"/>
      <c r="AN32" s="396"/>
      <c r="AO32" s="396"/>
      <c r="AP32" s="399"/>
      <c r="AQ32" s="399"/>
      <c r="AR32" s="399"/>
      <c r="AS32" s="399"/>
      <c r="AT32" s="399"/>
      <c r="AU32" s="396"/>
      <c r="AV32" s="396"/>
    </row>
    <row r="33" spans="1:48" s="221" customFormat="1" ht="25.5" x14ac:dyDescent="0.25">
      <c r="A33" s="392"/>
      <c r="B33" s="393"/>
      <c r="C33" s="393"/>
      <c r="D33" s="394"/>
      <c r="E33" s="393"/>
      <c r="F33" s="393"/>
      <c r="G33" s="393"/>
      <c r="H33" s="393"/>
      <c r="I33" s="395"/>
      <c r="J33" s="395"/>
      <c r="K33" s="393"/>
      <c r="L33" s="393"/>
      <c r="M33" s="396"/>
      <c r="N33" s="396"/>
      <c r="O33" s="396"/>
      <c r="P33" s="397"/>
      <c r="Q33" s="396"/>
      <c r="R33" s="396"/>
      <c r="S33" s="396"/>
      <c r="T33" s="396"/>
      <c r="U33" s="396"/>
      <c r="V33" s="396"/>
      <c r="W33" s="396" t="s">
        <v>629</v>
      </c>
      <c r="X33" s="397"/>
      <c r="Y33" s="396" t="s">
        <v>629</v>
      </c>
      <c r="Z33" s="396"/>
      <c r="AA33" s="397"/>
      <c r="AB33" s="397"/>
      <c r="AC33" s="396"/>
      <c r="AD33" s="397"/>
      <c r="AE33" s="397"/>
      <c r="AF33" s="399"/>
      <c r="AG33" s="396"/>
      <c r="AH33" s="399"/>
      <c r="AI33" s="399"/>
      <c r="AJ33" s="399"/>
      <c r="AK33" s="399"/>
      <c r="AL33" s="396"/>
      <c r="AM33" s="396"/>
      <c r="AN33" s="396"/>
      <c r="AO33" s="396"/>
      <c r="AP33" s="399"/>
      <c r="AQ33" s="399"/>
      <c r="AR33" s="399"/>
      <c r="AS33" s="399"/>
      <c r="AT33" s="399"/>
      <c r="AU33" s="396"/>
      <c r="AV33" s="396"/>
    </row>
    <row r="34" spans="1:48" s="221" customFormat="1" ht="38.25" x14ac:dyDescent="0.25">
      <c r="A34" s="217">
        <v>3</v>
      </c>
      <c r="B34" s="393" t="s">
        <v>591</v>
      </c>
      <c r="C34" s="393">
        <v>1</v>
      </c>
      <c r="D34" s="394">
        <f>D30</f>
        <v>46022</v>
      </c>
      <c r="E34" s="393"/>
      <c r="F34" s="393"/>
      <c r="G34" s="393">
        <f>G30</f>
        <v>2</v>
      </c>
      <c r="H34" s="393"/>
      <c r="I34" s="395">
        <f>I30</f>
        <v>1.2</v>
      </c>
      <c r="J34" s="395"/>
      <c r="K34" s="400">
        <f>K30</f>
        <v>2.31</v>
      </c>
      <c r="L34" s="393"/>
      <c r="M34" s="396" t="s">
        <v>623</v>
      </c>
      <c r="N34" s="396" t="s">
        <v>630</v>
      </c>
      <c r="O34" s="396" t="s">
        <v>591</v>
      </c>
      <c r="P34" s="397">
        <v>2407.3333299999999</v>
      </c>
      <c r="Q34" s="396" t="s">
        <v>613</v>
      </c>
      <c r="R34" s="396">
        <v>2407.3333299999999</v>
      </c>
      <c r="S34" s="396" t="s">
        <v>631</v>
      </c>
      <c r="T34" s="396" t="s">
        <v>631</v>
      </c>
      <c r="U34" s="396">
        <v>1</v>
      </c>
      <c r="V34" s="396">
        <v>1</v>
      </c>
      <c r="W34" s="396" t="s">
        <v>632</v>
      </c>
      <c r="X34" s="397">
        <v>2407.33</v>
      </c>
      <c r="Y34" s="396"/>
      <c r="Z34" s="396"/>
      <c r="AA34" s="397"/>
      <c r="AB34" s="397">
        <v>2407.33</v>
      </c>
      <c r="AC34" s="396" t="s">
        <v>632</v>
      </c>
      <c r="AD34" s="397">
        <f>'8. Общие сведения'!B54*1000</f>
        <v>0</v>
      </c>
      <c r="AE34" s="397">
        <f>AD34</f>
        <v>0</v>
      </c>
      <c r="AF34" s="399" t="s">
        <v>633</v>
      </c>
      <c r="AG34" s="396" t="s">
        <v>633</v>
      </c>
      <c r="AH34" s="399">
        <v>45230</v>
      </c>
      <c r="AI34" s="399">
        <v>45205</v>
      </c>
      <c r="AJ34" s="399">
        <v>45205</v>
      </c>
      <c r="AK34" s="399">
        <v>45205</v>
      </c>
      <c r="AL34" s="396"/>
      <c r="AM34" s="396"/>
      <c r="AN34" s="396"/>
      <c r="AO34" s="396"/>
      <c r="AP34" s="399">
        <v>45230</v>
      </c>
      <c r="AQ34" s="399">
        <v>45205</v>
      </c>
      <c r="AR34" s="399">
        <v>45230</v>
      </c>
      <c r="AS34" s="399">
        <v>45205</v>
      </c>
      <c r="AT34" s="399">
        <v>45260</v>
      </c>
      <c r="AU34" s="396"/>
      <c r="AV34" s="396"/>
    </row>
    <row r="35" spans="1:48" s="221" customFormat="1" ht="38.25" x14ac:dyDescent="0.25">
      <c r="A35" s="575">
        <v>4</v>
      </c>
      <c r="B35" s="576" t="s">
        <v>591</v>
      </c>
      <c r="C35" s="393">
        <v>1</v>
      </c>
      <c r="D35" s="394">
        <f>D34</f>
        <v>46022</v>
      </c>
      <c r="E35" s="393"/>
      <c r="F35" s="393"/>
      <c r="G35" s="393">
        <f>G34</f>
        <v>2</v>
      </c>
      <c r="H35" s="393"/>
      <c r="I35" s="400"/>
      <c r="J35" s="395"/>
      <c r="K35" s="400">
        <f>K34</f>
        <v>2.31</v>
      </c>
      <c r="L35" s="393">
        <f>L34</f>
        <v>0</v>
      </c>
      <c r="M35" s="577" t="s">
        <v>623</v>
      </c>
      <c r="N35" s="396" t="s">
        <v>683</v>
      </c>
      <c r="O35" s="396" t="s">
        <v>591</v>
      </c>
      <c r="P35" s="397">
        <v>41642.21</v>
      </c>
      <c r="Q35" s="396" t="s">
        <v>613</v>
      </c>
      <c r="R35" s="396">
        <v>41642.21</v>
      </c>
      <c r="S35" s="396" t="s">
        <v>684</v>
      </c>
      <c r="T35" s="396" t="s">
        <v>684</v>
      </c>
      <c r="U35" s="396">
        <v>6</v>
      </c>
      <c r="V35" s="396">
        <v>6</v>
      </c>
      <c r="W35" s="396" t="s">
        <v>685</v>
      </c>
      <c r="X35" s="397">
        <v>41642.21</v>
      </c>
      <c r="Y35" s="396"/>
      <c r="Z35" s="396" t="s">
        <v>62</v>
      </c>
      <c r="AA35" s="397">
        <v>41642.21</v>
      </c>
      <c r="AB35" s="397">
        <v>41642.21</v>
      </c>
      <c r="AC35" s="396" t="s">
        <v>685</v>
      </c>
      <c r="AD35" s="397">
        <f>'8. Общие сведения'!B58*1000</f>
        <v>6501.7091999999993</v>
      </c>
      <c r="AE35" s="397"/>
      <c r="AF35" s="576">
        <v>32414112220</v>
      </c>
      <c r="AG35" s="396" t="s">
        <v>615</v>
      </c>
      <c r="AH35" s="399">
        <v>45596</v>
      </c>
      <c r="AI35" s="399">
        <v>45588</v>
      </c>
      <c r="AJ35" s="399">
        <v>45616</v>
      </c>
      <c r="AK35" s="399">
        <v>45639</v>
      </c>
      <c r="AL35" s="396"/>
      <c r="AM35" s="396"/>
      <c r="AN35" s="396"/>
      <c r="AO35" s="396"/>
      <c r="AP35" s="578">
        <v>45657</v>
      </c>
      <c r="AQ35" s="578">
        <v>45654</v>
      </c>
      <c r="AR35" s="578">
        <v>45657</v>
      </c>
      <c r="AS35" s="578">
        <v>45654</v>
      </c>
      <c r="AT35" s="578">
        <v>45790</v>
      </c>
      <c r="AU35" s="396"/>
      <c r="AV35" s="396"/>
    </row>
    <row r="36" spans="1:48" s="221" customFormat="1" ht="12.75" x14ac:dyDescent="0.25">
      <c r="A36" s="392"/>
      <c r="B36" s="576"/>
      <c r="C36" s="393"/>
      <c r="D36" s="394"/>
      <c r="E36" s="393"/>
      <c r="F36" s="393"/>
      <c r="G36" s="393"/>
      <c r="H36" s="393"/>
      <c r="I36" s="393"/>
      <c r="J36" s="393"/>
      <c r="K36" s="400"/>
      <c r="L36" s="393"/>
      <c r="M36" s="396"/>
      <c r="N36" s="396"/>
      <c r="O36" s="396"/>
      <c r="P36" s="397"/>
      <c r="Q36" s="396"/>
      <c r="R36" s="396"/>
      <c r="S36" s="396"/>
      <c r="T36" s="396"/>
      <c r="U36" s="396"/>
      <c r="V36" s="396"/>
      <c r="W36" s="396" t="s">
        <v>686</v>
      </c>
      <c r="X36" s="397">
        <v>41642.21</v>
      </c>
      <c r="Y36" s="396"/>
      <c r="Z36" s="396"/>
      <c r="AA36" s="397">
        <v>41642.21</v>
      </c>
      <c r="AB36" s="397"/>
      <c r="AC36" s="396"/>
      <c r="AD36" s="397"/>
      <c r="AE36" s="397"/>
      <c r="AF36" s="399"/>
      <c r="AG36" s="396"/>
      <c r="AH36" s="399"/>
      <c r="AI36" s="399"/>
      <c r="AJ36" s="399"/>
      <c r="AK36" s="399"/>
      <c r="AL36" s="396"/>
      <c r="AM36" s="396"/>
      <c r="AN36" s="396"/>
      <c r="AO36" s="396"/>
      <c r="AP36" s="396"/>
      <c r="AQ36" s="396"/>
      <c r="AR36" s="396"/>
      <c r="AS36" s="396"/>
      <c r="AT36" s="396"/>
      <c r="AU36" s="396"/>
      <c r="AV36" s="396"/>
    </row>
    <row r="37" spans="1:48" s="221" customFormat="1" ht="38.25" x14ac:dyDescent="0.25">
      <c r="A37" s="392">
        <v>5</v>
      </c>
      <c r="B37" s="576" t="s">
        <v>591</v>
      </c>
      <c r="C37" s="393">
        <v>1</v>
      </c>
      <c r="D37" s="394">
        <f>D35</f>
        <v>46022</v>
      </c>
      <c r="E37" s="393"/>
      <c r="F37" s="393"/>
      <c r="G37" s="393">
        <f>G35</f>
        <v>2</v>
      </c>
      <c r="H37" s="393"/>
      <c r="I37" s="400"/>
      <c r="J37" s="395"/>
      <c r="K37" s="400">
        <f>K35</f>
        <v>2.31</v>
      </c>
      <c r="L37" s="393">
        <f>L35</f>
        <v>0</v>
      </c>
      <c r="M37" s="577" t="s">
        <v>623</v>
      </c>
      <c r="N37" s="396" t="s">
        <v>687</v>
      </c>
      <c r="O37" s="396" t="s">
        <v>591</v>
      </c>
      <c r="P37" s="397">
        <v>18412.2</v>
      </c>
      <c r="Q37" s="396" t="s">
        <v>613</v>
      </c>
      <c r="R37" s="579">
        <f>P37</f>
        <v>18412.2</v>
      </c>
      <c r="S37" s="576" t="s">
        <v>592</v>
      </c>
      <c r="T37" s="576" t="s">
        <v>592</v>
      </c>
      <c r="U37" s="396">
        <v>2</v>
      </c>
      <c r="V37" s="396">
        <v>2</v>
      </c>
      <c r="W37" s="396" t="s">
        <v>688</v>
      </c>
      <c r="X37" s="397">
        <f>22089.06/1.2</f>
        <v>18407.550000000003</v>
      </c>
      <c r="Y37" s="396"/>
      <c r="Z37" s="396">
        <v>1</v>
      </c>
      <c r="AA37" s="397"/>
      <c r="AB37" s="397">
        <f>X37</f>
        <v>18407.550000000003</v>
      </c>
      <c r="AC37" s="396" t="s">
        <v>688</v>
      </c>
      <c r="AD37" s="397">
        <f>'8. Общие сведения'!B62*1000</f>
        <v>1729.8</v>
      </c>
      <c r="AE37" s="397">
        <f>AD37</f>
        <v>1729.8</v>
      </c>
      <c r="AF37" s="576">
        <v>3244209830</v>
      </c>
      <c r="AG37" s="396" t="s">
        <v>615</v>
      </c>
      <c r="AH37" s="399">
        <v>45614</v>
      </c>
      <c r="AI37" s="399">
        <v>45614</v>
      </c>
      <c r="AJ37" s="399">
        <v>45630</v>
      </c>
      <c r="AK37" s="399">
        <v>45651</v>
      </c>
      <c r="AL37" s="396"/>
      <c r="AM37" s="396"/>
      <c r="AN37" s="396"/>
      <c r="AO37" s="396"/>
      <c r="AP37" s="399">
        <v>45671</v>
      </c>
      <c r="AQ37" s="399">
        <v>45671</v>
      </c>
      <c r="AR37" s="399">
        <v>45671</v>
      </c>
      <c r="AS37" s="399">
        <v>45671</v>
      </c>
      <c r="AT37" s="399">
        <v>45771</v>
      </c>
      <c r="AU37" s="396"/>
      <c r="AV37" s="396"/>
    </row>
    <row r="38" spans="1:48" s="221" customFormat="1" ht="12.75" x14ac:dyDescent="0.25">
      <c r="A38" s="392"/>
      <c r="B38" s="393"/>
      <c r="C38" s="393"/>
      <c r="D38" s="394"/>
      <c r="E38" s="393"/>
      <c r="F38" s="393"/>
      <c r="G38" s="393"/>
      <c r="H38" s="393"/>
      <c r="I38" s="395"/>
      <c r="J38" s="395"/>
      <c r="K38" s="393"/>
      <c r="L38" s="393"/>
      <c r="M38" s="396"/>
      <c r="N38" s="396"/>
      <c r="O38" s="396"/>
      <c r="P38" s="397"/>
      <c r="Q38" s="396"/>
      <c r="R38" s="396"/>
      <c r="S38" s="396"/>
      <c r="T38" s="396"/>
      <c r="U38" s="396"/>
      <c r="V38" s="396"/>
      <c r="W38" s="396">
        <v>333512</v>
      </c>
      <c r="X38" s="397">
        <f>22093.56/1.2</f>
        <v>18411.300000000003</v>
      </c>
      <c r="Y38" s="396"/>
      <c r="Z38" s="396"/>
      <c r="AA38" s="397"/>
      <c r="AB38" s="397"/>
      <c r="AC38" s="396"/>
      <c r="AD38" s="397"/>
      <c r="AE38" s="397"/>
      <c r="AF38" s="399"/>
      <c r="AG38" s="396"/>
      <c r="AH38" s="399"/>
      <c r="AI38" s="399"/>
      <c r="AJ38" s="399"/>
      <c r="AK38" s="399"/>
      <c r="AL38" s="396"/>
      <c r="AM38" s="396"/>
      <c r="AN38" s="396"/>
      <c r="AO38" s="396"/>
      <c r="AP38" s="399"/>
      <c r="AQ38" s="399"/>
      <c r="AR38" s="399"/>
      <c r="AS38" s="399"/>
      <c r="AT38" s="399"/>
      <c r="AU38" s="396"/>
      <c r="AV38" s="396"/>
    </row>
    <row r="39" spans="1:48" s="221" customFormat="1" ht="12.75" x14ac:dyDescent="0.25">
      <c r="A39" s="392"/>
      <c r="B39" s="393"/>
      <c r="C39" s="393"/>
      <c r="D39" s="394"/>
      <c r="E39" s="393"/>
      <c r="F39" s="393"/>
      <c r="G39" s="393"/>
      <c r="H39" s="393"/>
      <c r="I39" s="395"/>
      <c r="J39" s="395"/>
      <c r="K39" s="400"/>
      <c r="L39" s="393"/>
      <c r="M39" s="396"/>
      <c r="N39" s="396"/>
      <c r="O39" s="396"/>
      <c r="P39" s="397"/>
      <c r="Q39" s="396"/>
      <c r="R39" s="396"/>
      <c r="S39" s="396"/>
      <c r="T39" s="396"/>
      <c r="U39" s="396"/>
      <c r="V39" s="396"/>
      <c r="W39" s="396"/>
      <c r="X39" s="397"/>
      <c r="Y39" s="396"/>
      <c r="Z39" s="396"/>
      <c r="AA39" s="397"/>
      <c r="AB39" s="397"/>
      <c r="AC39" s="396"/>
      <c r="AD39" s="397"/>
      <c r="AE39" s="397"/>
      <c r="AF39" s="399"/>
      <c r="AG39" s="396"/>
      <c r="AH39" s="399"/>
      <c r="AI39" s="399"/>
      <c r="AJ39" s="399"/>
      <c r="AK39" s="399"/>
      <c r="AL39" s="396"/>
      <c r="AM39" s="396"/>
      <c r="AN39" s="396"/>
      <c r="AO39" s="396"/>
      <c r="AP39" s="399"/>
      <c r="AQ39" s="399"/>
      <c r="AR39" s="399"/>
      <c r="AS39" s="399"/>
      <c r="AT39" s="399"/>
      <c r="AU39" s="396"/>
      <c r="AV39" s="396"/>
    </row>
    <row r="40" spans="1:48" s="221" customFormat="1" ht="12.75" x14ac:dyDescent="0.25">
      <c r="A40" s="392"/>
      <c r="B40" s="393"/>
      <c r="C40" s="393"/>
      <c r="D40" s="394"/>
      <c r="E40" s="393"/>
      <c r="F40" s="393"/>
      <c r="G40" s="393"/>
      <c r="H40" s="393"/>
      <c r="I40" s="395"/>
      <c r="J40" s="395"/>
      <c r="K40" s="400"/>
      <c r="L40" s="393"/>
      <c r="M40" s="396"/>
      <c r="N40" s="396"/>
      <c r="O40" s="396"/>
      <c r="P40" s="397"/>
      <c r="Q40" s="396"/>
      <c r="R40" s="396"/>
      <c r="S40" s="396"/>
      <c r="T40" s="396"/>
      <c r="U40" s="396"/>
      <c r="V40" s="396"/>
      <c r="W40" s="396"/>
      <c r="X40" s="397"/>
      <c r="Y40" s="396"/>
      <c r="Z40" s="396"/>
      <c r="AA40" s="397"/>
      <c r="AB40" s="397"/>
      <c r="AC40" s="396"/>
      <c r="AD40" s="397"/>
      <c r="AE40" s="397"/>
      <c r="AF40" s="399"/>
      <c r="AG40" s="396"/>
      <c r="AH40" s="399"/>
      <c r="AI40" s="399"/>
      <c r="AJ40" s="399"/>
      <c r="AK40" s="399"/>
      <c r="AL40" s="396"/>
      <c r="AM40" s="396"/>
      <c r="AN40" s="396"/>
      <c r="AO40" s="396"/>
      <c r="AP40" s="399"/>
      <c r="AQ40" s="399"/>
      <c r="AR40" s="399"/>
      <c r="AS40" s="399"/>
      <c r="AT40" s="399"/>
      <c r="AU40" s="396"/>
      <c r="AV40" s="396"/>
    </row>
    <row r="41" spans="1:48" s="221" customFormat="1" ht="12.75" x14ac:dyDescent="0.25">
      <c r="A41" s="217"/>
      <c r="B41" s="208"/>
      <c r="C41" s="208"/>
      <c r="D41" s="209"/>
      <c r="E41" s="208"/>
      <c r="F41" s="208"/>
      <c r="G41" s="208"/>
      <c r="H41" s="208"/>
      <c r="I41" s="210"/>
      <c r="J41" s="210"/>
      <c r="K41" s="208"/>
      <c r="L41" s="208"/>
      <c r="M41" s="218"/>
      <c r="N41" s="218"/>
      <c r="O41" s="218"/>
      <c r="P41" s="214"/>
      <c r="Q41" s="218"/>
      <c r="R41" s="218"/>
      <c r="S41" s="218"/>
      <c r="T41" s="218"/>
      <c r="U41" s="218"/>
      <c r="V41" s="218"/>
      <c r="W41" s="218"/>
      <c r="X41" s="214"/>
      <c r="Y41" s="218"/>
      <c r="Z41" s="218"/>
      <c r="AA41" s="214"/>
      <c r="AB41" s="214"/>
      <c r="AC41" s="218"/>
      <c r="AD41" s="214"/>
      <c r="AE41" s="214"/>
      <c r="AF41" s="219"/>
      <c r="AG41" s="218"/>
      <c r="AH41" s="219"/>
      <c r="AI41" s="219"/>
      <c r="AJ41" s="219"/>
      <c r="AK41" s="219"/>
      <c r="AL41" s="218"/>
      <c r="AM41" s="218"/>
      <c r="AN41" s="218"/>
      <c r="AO41" s="218"/>
      <c r="AP41" s="218"/>
      <c r="AQ41" s="218"/>
      <c r="AR41" s="218"/>
      <c r="AS41" s="218"/>
      <c r="AT41" s="218"/>
      <c r="AU41" s="218"/>
      <c r="AV41" s="218"/>
    </row>
    <row r="42" spans="1:48" x14ac:dyDescent="0.25">
      <c r="AD42" s="222">
        <f>SUM(AD26:AD41)</f>
        <v>72693.750600000014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0"/>
  <sheetViews>
    <sheetView view="pageBreakPreview" topLeftCell="A14" zoomScale="90" zoomScaleNormal="90" zoomScaleSheetLayoutView="90" workbookViewId="0">
      <selection activeCell="B28" sqref="B28"/>
    </sheetView>
  </sheetViews>
  <sheetFormatPr defaultRowHeight="15.75" x14ac:dyDescent="0.25"/>
  <cols>
    <col min="1" max="2" width="66.140625" style="27" customWidth="1"/>
    <col min="3" max="3" width="8.85546875" style="16" hidden="1" customWidth="1"/>
    <col min="4" max="4" width="8.85546875" style="16" customWidth="1"/>
    <col min="5" max="5" width="10.140625" style="16" bestFit="1" customWidth="1"/>
    <col min="6"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4" t="s">
        <v>66</v>
      </c>
    </row>
    <row r="2" spans="1:8" ht="18.75" x14ac:dyDescent="0.3">
      <c r="B2" s="125" t="s">
        <v>8</v>
      </c>
    </row>
    <row r="3" spans="1:8" ht="18.75" x14ac:dyDescent="0.3">
      <c r="B3" s="125" t="s">
        <v>387</v>
      </c>
    </row>
    <row r="4" spans="1:8" x14ac:dyDescent="0.25">
      <c r="B4" s="5"/>
    </row>
    <row r="5" spans="1:8" ht="18.75" x14ac:dyDescent="0.3">
      <c r="A5" s="557" t="str">
        <f>'2. паспорт  ТП'!A4:S4</f>
        <v>Год раскрытия информации: 2025 год</v>
      </c>
      <c r="B5" s="557"/>
      <c r="C5" s="25"/>
      <c r="D5" s="25"/>
      <c r="E5" s="25"/>
      <c r="F5" s="25"/>
      <c r="G5" s="25"/>
      <c r="H5" s="25"/>
    </row>
    <row r="6" spans="1:8" ht="18.75" x14ac:dyDescent="0.3">
      <c r="A6" s="171"/>
      <c r="B6" s="171"/>
      <c r="C6" s="171"/>
      <c r="D6" s="171"/>
      <c r="E6" s="171"/>
      <c r="F6" s="171"/>
      <c r="G6" s="171"/>
      <c r="H6" s="171"/>
    </row>
    <row r="7" spans="1:8" ht="18.75" x14ac:dyDescent="0.25">
      <c r="A7" s="513" t="s">
        <v>7</v>
      </c>
      <c r="B7" s="513"/>
      <c r="C7" s="204"/>
      <c r="D7" s="204"/>
      <c r="E7" s="204"/>
      <c r="F7" s="204"/>
      <c r="G7" s="204"/>
      <c r="H7" s="204"/>
    </row>
    <row r="8" spans="1:8" ht="18.75" x14ac:dyDescent="0.25">
      <c r="A8" s="204"/>
      <c r="B8" s="204"/>
      <c r="C8" s="204"/>
      <c r="D8" s="204"/>
      <c r="E8" s="204"/>
      <c r="F8" s="204"/>
      <c r="G8" s="204"/>
      <c r="H8" s="204"/>
    </row>
    <row r="9" spans="1:8" x14ac:dyDescent="0.25">
      <c r="A9" s="514" t="str">
        <f>'1. паспорт местоположение'!A9:C9</f>
        <v>Акционерное общество "Россети Янтарь" ДЗО  ПАО "Россети"</v>
      </c>
      <c r="B9" s="514"/>
      <c r="C9" s="205"/>
      <c r="D9" s="205"/>
      <c r="E9" s="205"/>
      <c r="F9" s="205"/>
      <c r="G9" s="205"/>
      <c r="H9" s="205"/>
    </row>
    <row r="10" spans="1:8" x14ac:dyDescent="0.25">
      <c r="A10" s="500" t="s">
        <v>6</v>
      </c>
      <c r="B10" s="500"/>
      <c r="C10" s="206"/>
      <c r="D10" s="206"/>
      <c r="E10" s="206"/>
      <c r="F10" s="206"/>
      <c r="G10" s="206"/>
      <c r="H10" s="206"/>
    </row>
    <row r="11" spans="1:8" ht="18.75" x14ac:dyDescent="0.25">
      <c r="A11" s="204"/>
      <c r="B11" s="204"/>
      <c r="C11" s="204"/>
      <c r="D11" s="204"/>
      <c r="E11" s="204"/>
      <c r="F11" s="204"/>
      <c r="G11" s="204"/>
      <c r="H11" s="204"/>
    </row>
    <row r="12" spans="1:8" x14ac:dyDescent="0.25">
      <c r="A12" s="514" t="str">
        <f>'1. паспорт местоположение'!A12:C12</f>
        <v>N_21-0947</v>
      </c>
      <c r="B12" s="514"/>
      <c r="C12" s="205"/>
      <c r="D12" s="205"/>
      <c r="E12" s="205"/>
      <c r="F12" s="205"/>
      <c r="G12" s="205"/>
      <c r="H12" s="205"/>
    </row>
    <row r="13" spans="1:8" x14ac:dyDescent="0.25">
      <c r="A13" s="500" t="s">
        <v>5</v>
      </c>
      <c r="B13" s="500"/>
      <c r="C13" s="206"/>
      <c r="D13" s="206"/>
      <c r="E13" s="206"/>
      <c r="F13" s="206"/>
      <c r="G13" s="206"/>
      <c r="H13" s="206"/>
    </row>
    <row r="14" spans="1:8" ht="18.75" x14ac:dyDescent="0.25">
      <c r="A14" s="104"/>
      <c r="B14" s="104"/>
      <c r="C14" s="104"/>
      <c r="D14" s="104"/>
      <c r="E14" s="104"/>
      <c r="F14" s="104"/>
      <c r="G14" s="104"/>
      <c r="H14" s="104"/>
    </row>
    <row r="15" spans="1:8" ht="63.6" customHeight="1" x14ac:dyDescent="0.25">
      <c r="A15" s="501" t="str">
        <f>'1. паспорт местоположение'!A15:C15</f>
        <v>Строительство ТП 15/0,4 кВ, 2-х ЛЭП 15 кВ от ЗРУ 15 кВ ПС 110 кВ О-10, ЛЭП 0,4 кВ, организация системы учета электроэнергии в г. Зеленоградске, п. Вишневое</v>
      </c>
      <c r="B15" s="501"/>
      <c r="C15" s="205"/>
      <c r="D15" s="205"/>
      <c r="E15" s="205"/>
      <c r="F15" s="205"/>
      <c r="G15" s="205"/>
      <c r="H15" s="205"/>
    </row>
    <row r="16" spans="1:8" x14ac:dyDescent="0.25">
      <c r="A16" s="500" t="s">
        <v>4</v>
      </c>
      <c r="B16" s="500"/>
      <c r="C16" s="206"/>
      <c r="D16" s="206"/>
      <c r="E16" s="206"/>
      <c r="F16" s="206"/>
      <c r="G16" s="206"/>
      <c r="H16" s="206"/>
    </row>
    <row r="17" spans="1:2" x14ac:dyDescent="0.25">
      <c r="B17" s="28"/>
    </row>
    <row r="18" spans="1:2" x14ac:dyDescent="0.25">
      <c r="A18" s="558" t="s">
        <v>373</v>
      </c>
      <c r="B18" s="559"/>
    </row>
    <row r="19" spans="1:2" x14ac:dyDescent="0.25">
      <c r="B19" s="5"/>
    </row>
    <row r="20" spans="1:2" ht="16.5" thickBot="1" x14ac:dyDescent="0.3">
      <c r="B20" s="29"/>
    </row>
    <row r="21" spans="1:2" ht="45.75" thickBot="1" x14ac:dyDescent="0.3">
      <c r="A21" s="30" t="s">
        <v>272</v>
      </c>
      <c r="B21" s="55" t="str">
        <f>A15</f>
        <v>Строительство ТП 15/0,4 кВ, 2-х ЛЭП 15 кВ от ЗРУ 15 кВ ПС 110 кВ О-10, ЛЭП 0,4 кВ, организация системы учета электроэнергии в г. Зеленоградске, п. Вишневое</v>
      </c>
    </row>
    <row r="22" spans="1:2" ht="16.5" thickBot="1" x14ac:dyDescent="0.3">
      <c r="A22" s="30" t="s">
        <v>273</v>
      </c>
      <c r="B22" s="56"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30" t="s">
        <v>257</v>
      </c>
      <c r="B23" s="57" t="s">
        <v>533</v>
      </c>
    </row>
    <row r="24" spans="1:2" ht="16.5" thickBot="1" x14ac:dyDescent="0.3">
      <c r="A24" s="30" t="s">
        <v>274</v>
      </c>
      <c r="B24" s="58" t="str">
        <f>CONCATENATE('3.1. паспорт Техсостояние ПС'!O27," (",'3.1. паспорт Техсостояние ПС'!O27,") МВА; ",'3.2 паспорт Техсостояние ЛЭП'!R34," (",'3.2 паспорт Техсостояние ЛЭП'!S34,") км")</f>
        <v>2 (2) МВА; 3,62 (3,62) км</v>
      </c>
    </row>
    <row r="25" spans="1:2" ht="16.5" thickBot="1" x14ac:dyDescent="0.3">
      <c r="A25" s="31" t="s">
        <v>275</v>
      </c>
      <c r="B25" s="59">
        <v>2025</v>
      </c>
    </row>
    <row r="26" spans="1:2" ht="16.5" thickBot="1" x14ac:dyDescent="0.3">
      <c r="A26" s="32" t="s">
        <v>276</v>
      </c>
      <c r="B26" s="60" t="s">
        <v>610</v>
      </c>
    </row>
    <row r="27" spans="1:2" ht="29.25" thickBot="1" x14ac:dyDescent="0.3">
      <c r="A27" s="38" t="s">
        <v>634</v>
      </c>
      <c r="B27" s="144">
        <f>'5. анализ эконом эфф'!B122</f>
        <v>76.061160819999998</v>
      </c>
    </row>
    <row r="28" spans="1:2" ht="16.5" thickBot="1" x14ac:dyDescent="0.3">
      <c r="A28" s="34" t="s">
        <v>277</v>
      </c>
      <c r="B28" s="60" t="s">
        <v>635</v>
      </c>
    </row>
    <row r="29" spans="1:2" ht="29.25" thickBot="1" x14ac:dyDescent="0.3">
      <c r="A29" s="39" t="s">
        <v>278</v>
      </c>
      <c r="B29" s="144">
        <f>'7. Паспорт отчет о закупке'!AD42/1000</f>
        <v>72.693750600000016</v>
      </c>
    </row>
    <row r="30" spans="1:2" ht="29.25" thickBot="1" x14ac:dyDescent="0.3">
      <c r="A30" s="39" t="s">
        <v>279</v>
      </c>
      <c r="B30" s="144">
        <f>B32+B49+B70</f>
        <v>72.775404600000002</v>
      </c>
    </row>
    <row r="31" spans="1:2" ht="16.5" thickBot="1" x14ac:dyDescent="0.3">
      <c r="A31" s="34" t="s">
        <v>280</v>
      </c>
      <c r="B31" s="61"/>
    </row>
    <row r="32" spans="1:2" ht="29.25" thickBot="1" x14ac:dyDescent="0.3">
      <c r="A32" s="39" t="s">
        <v>281</v>
      </c>
      <c r="B32" s="144">
        <f>SUMIF(C33:C48,10,B33:B48)</f>
        <v>48.711591400000003</v>
      </c>
    </row>
    <row r="33" spans="1:3" ht="30.75" thickBot="1" x14ac:dyDescent="0.3">
      <c r="A33" s="325" t="s">
        <v>620</v>
      </c>
      <c r="B33" s="326">
        <f>48.7115914</f>
        <v>48.711591400000003</v>
      </c>
      <c r="C33" s="16">
        <v>10</v>
      </c>
    </row>
    <row r="34" spans="1:3" ht="16.5" thickBot="1" x14ac:dyDescent="0.3">
      <c r="A34" s="34" t="s">
        <v>283</v>
      </c>
      <c r="B34" s="63">
        <f>B33/$B$27</f>
        <v>0.64042661030741821</v>
      </c>
    </row>
    <row r="35" spans="1:3" ht="16.5" thickBot="1" x14ac:dyDescent="0.3">
      <c r="A35" s="34" t="s">
        <v>284</v>
      </c>
      <c r="B35" s="144">
        <v>0.77398538000000006</v>
      </c>
      <c r="C35" s="16">
        <v>1</v>
      </c>
    </row>
    <row r="36" spans="1:3" ht="16.5" thickBot="1" x14ac:dyDescent="0.3">
      <c r="A36" s="34" t="s">
        <v>285</v>
      </c>
      <c r="B36" s="144">
        <v>0.77398537999999983</v>
      </c>
      <c r="C36" s="16">
        <v>2</v>
      </c>
    </row>
    <row r="37" spans="1:3" ht="16.5" thickBot="1" x14ac:dyDescent="0.3">
      <c r="A37" s="62" t="s">
        <v>282</v>
      </c>
      <c r="B37" s="223"/>
      <c r="C37" s="16">
        <v>10</v>
      </c>
    </row>
    <row r="38" spans="1:3" ht="16.5" thickBot="1" x14ac:dyDescent="0.3">
      <c r="A38" s="34" t="s">
        <v>283</v>
      </c>
      <c r="B38" s="63">
        <f>B37/$B$27</f>
        <v>0</v>
      </c>
    </row>
    <row r="39" spans="1:3" ht="16.5" thickBot="1" x14ac:dyDescent="0.3">
      <c r="A39" s="34" t="s">
        <v>284</v>
      </c>
      <c r="B39" s="144"/>
      <c r="C39" s="16">
        <v>1</v>
      </c>
    </row>
    <row r="40" spans="1:3" ht="16.5" thickBot="1" x14ac:dyDescent="0.3">
      <c r="A40" s="34" t="s">
        <v>285</v>
      </c>
      <c r="B40" s="144"/>
      <c r="C40" s="16">
        <v>2</v>
      </c>
    </row>
    <row r="41" spans="1:3" ht="16.5" thickBot="1" x14ac:dyDescent="0.3">
      <c r="A41" s="62" t="s">
        <v>282</v>
      </c>
      <c r="B41" s="223"/>
      <c r="C41" s="16">
        <v>10</v>
      </c>
    </row>
    <row r="42" spans="1:3" ht="16.5" thickBot="1" x14ac:dyDescent="0.3">
      <c r="A42" s="34" t="s">
        <v>283</v>
      </c>
      <c r="B42" s="63">
        <f>B41/$B$27</f>
        <v>0</v>
      </c>
    </row>
    <row r="43" spans="1:3" ht="16.5" thickBot="1" x14ac:dyDescent="0.3">
      <c r="A43" s="34" t="s">
        <v>284</v>
      </c>
      <c r="B43" s="144"/>
      <c r="C43" s="16">
        <v>1</v>
      </c>
    </row>
    <row r="44" spans="1:3" ht="16.5" thickBot="1" x14ac:dyDescent="0.3">
      <c r="A44" s="34" t="s">
        <v>285</v>
      </c>
      <c r="B44" s="144"/>
      <c r="C44" s="16">
        <v>2</v>
      </c>
    </row>
    <row r="45" spans="1:3" ht="16.5" thickBot="1" x14ac:dyDescent="0.3">
      <c r="A45" s="62" t="s">
        <v>282</v>
      </c>
      <c r="B45" s="223"/>
      <c r="C45" s="16">
        <v>10</v>
      </c>
    </row>
    <row r="46" spans="1:3" ht="16.5" thickBot="1" x14ac:dyDescent="0.3">
      <c r="A46" s="34" t="s">
        <v>283</v>
      </c>
      <c r="B46" s="63">
        <f>B45/$B$27</f>
        <v>0</v>
      </c>
    </row>
    <row r="47" spans="1:3" ht="16.5" thickBot="1" x14ac:dyDescent="0.3">
      <c r="A47" s="34" t="s">
        <v>284</v>
      </c>
      <c r="B47" s="144"/>
      <c r="C47" s="16">
        <v>1</v>
      </c>
    </row>
    <row r="48" spans="1:3" ht="16.5" thickBot="1" x14ac:dyDescent="0.3">
      <c r="A48" s="34" t="s">
        <v>285</v>
      </c>
      <c r="B48" s="144"/>
      <c r="C48" s="16">
        <v>2</v>
      </c>
    </row>
    <row r="49" spans="1:3" ht="29.25" thickBot="1" x14ac:dyDescent="0.3">
      <c r="A49" s="39" t="s">
        <v>286</v>
      </c>
      <c r="B49" s="144">
        <f>SUMIF(C50:C69,20,B50:B69)</f>
        <v>23.982159200000002</v>
      </c>
    </row>
    <row r="50" spans="1:3" ht="45.75" thickBot="1" x14ac:dyDescent="0.3">
      <c r="A50" s="325" t="s">
        <v>646</v>
      </c>
      <c r="B50" s="326">
        <v>15.75065</v>
      </c>
      <c r="C50" s="16">
        <v>20</v>
      </c>
    </row>
    <row r="51" spans="1:3" ht="16.5" thickBot="1" x14ac:dyDescent="0.3">
      <c r="A51" s="34" t="s">
        <v>283</v>
      </c>
      <c r="B51" s="63">
        <f>B50/$B$27</f>
        <v>0.20707874860435244</v>
      </c>
    </row>
    <row r="52" spans="1:3" ht="16.5" thickBot="1" x14ac:dyDescent="0.3">
      <c r="A52" s="34" t="s">
        <v>284</v>
      </c>
      <c r="B52" s="144">
        <v>15.75065</v>
      </c>
      <c r="C52" s="16">
        <v>1</v>
      </c>
    </row>
    <row r="53" spans="1:3" ht="16.5" thickBot="1" x14ac:dyDescent="0.3">
      <c r="A53" s="34" t="s">
        <v>285</v>
      </c>
      <c r="B53" s="144">
        <v>15.75065</v>
      </c>
      <c r="C53" s="16">
        <v>2</v>
      </c>
    </row>
    <row r="54" spans="1:3" ht="45.75" thickBot="1" x14ac:dyDescent="0.3">
      <c r="A54" s="325" t="s">
        <v>622</v>
      </c>
      <c r="B54" s="326">
        <f>0.77975*0</f>
        <v>0</v>
      </c>
      <c r="C54" s="16">
        <v>20</v>
      </c>
    </row>
    <row r="55" spans="1:3" ht="16.5" thickBot="1" x14ac:dyDescent="0.3">
      <c r="A55" s="34" t="s">
        <v>283</v>
      </c>
      <c r="B55" s="63">
        <f>B54/$B$27</f>
        <v>0</v>
      </c>
    </row>
    <row r="56" spans="1:3" ht="16.5" thickBot="1" x14ac:dyDescent="0.3">
      <c r="A56" s="34" t="s">
        <v>284</v>
      </c>
      <c r="B56" s="144">
        <f t="shared" ref="B56:B57" si="0">0.77975*0</f>
        <v>0</v>
      </c>
      <c r="C56" s="16">
        <v>1</v>
      </c>
    </row>
    <row r="57" spans="1:3" ht="16.5" thickBot="1" x14ac:dyDescent="0.3">
      <c r="A57" s="34" t="s">
        <v>285</v>
      </c>
      <c r="B57" s="144">
        <f t="shared" si="0"/>
        <v>0</v>
      </c>
      <c r="C57" s="16">
        <v>2</v>
      </c>
    </row>
    <row r="58" spans="1:3" ht="30.75" thickBot="1" x14ac:dyDescent="0.3">
      <c r="A58" s="325" t="s">
        <v>679</v>
      </c>
      <c r="B58" s="326">
        <v>6.5017091999999996</v>
      </c>
      <c r="C58" s="16">
        <v>20</v>
      </c>
    </row>
    <row r="59" spans="1:3" ht="16.5" thickBot="1" x14ac:dyDescent="0.3">
      <c r="A59" s="34" t="s">
        <v>283</v>
      </c>
      <c r="B59" s="63">
        <f>B58/$B$27</f>
        <v>8.5480015423198746E-2</v>
      </c>
    </row>
    <row r="60" spans="1:3" ht="16.5" thickBot="1" x14ac:dyDescent="0.3">
      <c r="A60" s="34" t="s">
        <v>284</v>
      </c>
      <c r="B60" s="144"/>
      <c r="C60" s="16">
        <v>1</v>
      </c>
    </row>
    <row r="61" spans="1:3" ht="16.5" thickBot="1" x14ac:dyDescent="0.3">
      <c r="A61" s="34" t="s">
        <v>285</v>
      </c>
      <c r="B61" s="144"/>
      <c r="C61" s="16">
        <v>2</v>
      </c>
    </row>
    <row r="62" spans="1:3" ht="30.75" thickBot="1" x14ac:dyDescent="0.3">
      <c r="A62" s="325" t="s">
        <v>680</v>
      </c>
      <c r="B62" s="326">
        <v>1.7298</v>
      </c>
      <c r="C62" s="16">
        <v>20</v>
      </c>
    </row>
    <row r="63" spans="1:3" ht="16.5" thickBot="1" x14ac:dyDescent="0.3">
      <c r="A63" s="34" t="s">
        <v>283</v>
      </c>
      <c r="B63" s="63">
        <f>B62/$B$27</f>
        <v>2.2742224564434411E-2</v>
      </c>
    </row>
    <row r="64" spans="1:3" ht="16.5" thickBot="1" x14ac:dyDescent="0.3">
      <c r="A64" s="34" t="s">
        <v>284</v>
      </c>
      <c r="B64" s="144"/>
      <c r="C64" s="16">
        <v>1</v>
      </c>
    </row>
    <row r="65" spans="1:5" ht="16.5" thickBot="1" x14ac:dyDescent="0.3">
      <c r="A65" s="34" t="s">
        <v>285</v>
      </c>
      <c r="B65" s="144"/>
      <c r="C65" s="16">
        <v>2</v>
      </c>
    </row>
    <row r="66" spans="1:5" ht="16.5" thickBot="1" x14ac:dyDescent="0.3">
      <c r="A66" s="62" t="s">
        <v>282</v>
      </c>
      <c r="B66" s="223"/>
      <c r="C66" s="16">
        <v>20</v>
      </c>
    </row>
    <row r="67" spans="1:5" ht="16.5" thickBot="1" x14ac:dyDescent="0.3">
      <c r="A67" s="34" t="s">
        <v>283</v>
      </c>
      <c r="B67" s="63">
        <f>B66/$B$27</f>
        <v>0</v>
      </c>
    </row>
    <row r="68" spans="1:5" ht="16.5" thickBot="1" x14ac:dyDescent="0.3">
      <c r="A68" s="34" t="s">
        <v>284</v>
      </c>
      <c r="B68" s="144"/>
      <c r="C68" s="16">
        <v>1</v>
      </c>
    </row>
    <row r="69" spans="1:5" ht="16.5" thickBot="1" x14ac:dyDescent="0.3">
      <c r="A69" s="34" t="s">
        <v>285</v>
      </c>
      <c r="B69" s="144"/>
      <c r="C69" s="16">
        <v>2</v>
      </c>
    </row>
    <row r="70" spans="1:5" ht="29.25" thickBot="1" x14ac:dyDescent="0.3">
      <c r="A70" s="39" t="s">
        <v>287</v>
      </c>
      <c r="B70" s="144">
        <f>SUMIF(C71:C94,30,B71:B94)</f>
        <v>8.165399999999999E-2</v>
      </c>
    </row>
    <row r="71" spans="1:5" ht="45.75" thickBot="1" x14ac:dyDescent="0.3">
      <c r="A71" s="325" t="s">
        <v>644</v>
      </c>
      <c r="B71" s="326">
        <f>B74</f>
        <v>6.9432259999999996E-2</v>
      </c>
      <c r="C71" s="16">
        <v>30</v>
      </c>
    </row>
    <row r="72" spans="1:5" ht="16.5" thickBot="1" x14ac:dyDescent="0.3">
      <c r="A72" s="34" t="s">
        <v>283</v>
      </c>
      <c r="B72" s="63">
        <f>B71/$B$27</f>
        <v>9.1284775635113683E-4</v>
      </c>
    </row>
    <row r="73" spans="1:5" ht="16.5" thickBot="1" x14ac:dyDescent="0.3">
      <c r="A73" s="34" t="s">
        <v>284</v>
      </c>
      <c r="B73" s="144">
        <v>6.9432259999999996E-2</v>
      </c>
      <c r="C73" s="16">
        <v>1</v>
      </c>
      <c r="E73" s="427"/>
    </row>
    <row r="74" spans="1:5" ht="16.5" thickBot="1" x14ac:dyDescent="0.3">
      <c r="A74" s="34" t="s">
        <v>285</v>
      </c>
      <c r="B74" s="144">
        <v>6.9432259999999996E-2</v>
      </c>
      <c r="C74" s="16">
        <v>2</v>
      </c>
    </row>
    <row r="75" spans="1:5" ht="45.75" thickBot="1" x14ac:dyDescent="0.3">
      <c r="A75" s="325" t="s">
        <v>648</v>
      </c>
      <c r="B75" s="326">
        <f>B78</f>
        <v>1.222174E-2</v>
      </c>
      <c r="C75" s="16">
        <v>30</v>
      </c>
    </row>
    <row r="76" spans="1:5" ht="16.5" thickBot="1" x14ac:dyDescent="0.3">
      <c r="A76" s="34" t="s">
        <v>283</v>
      </c>
      <c r="B76" s="63">
        <f>B75/$B$27</f>
        <v>1.6068305910979917E-4</v>
      </c>
    </row>
    <row r="77" spans="1:5" ht="16.5" thickBot="1" x14ac:dyDescent="0.3">
      <c r="A77" s="34" t="s">
        <v>284</v>
      </c>
      <c r="B77" s="144">
        <v>1.222174E-2</v>
      </c>
      <c r="C77" s="16">
        <v>1</v>
      </c>
    </row>
    <row r="78" spans="1:5" ht="16.5" thickBot="1" x14ac:dyDescent="0.3">
      <c r="A78" s="34" t="s">
        <v>285</v>
      </c>
      <c r="B78" s="144">
        <v>1.222174E-2</v>
      </c>
      <c r="C78" s="16">
        <v>2</v>
      </c>
    </row>
    <row r="79" spans="1:5" ht="16.5" thickBot="1" x14ac:dyDescent="0.3">
      <c r="A79" s="62" t="s">
        <v>282</v>
      </c>
      <c r="B79" s="223"/>
      <c r="C79" s="16">
        <v>30</v>
      </c>
    </row>
    <row r="80" spans="1:5" ht="16.5" thickBot="1" x14ac:dyDescent="0.3">
      <c r="A80" s="34" t="s">
        <v>283</v>
      </c>
      <c r="B80" s="63">
        <f>B79/$B$27</f>
        <v>0</v>
      </c>
    </row>
    <row r="81" spans="1:3" ht="16.5" thickBot="1" x14ac:dyDescent="0.3">
      <c r="A81" s="34" t="s">
        <v>284</v>
      </c>
      <c r="B81" s="144"/>
      <c r="C81" s="16">
        <v>1</v>
      </c>
    </row>
    <row r="82" spans="1:3" ht="16.5" thickBot="1" x14ac:dyDescent="0.3">
      <c r="A82" s="34" t="s">
        <v>285</v>
      </c>
      <c r="B82" s="144"/>
      <c r="C82" s="16">
        <v>2</v>
      </c>
    </row>
    <row r="83" spans="1:3" ht="16.5" thickBot="1" x14ac:dyDescent="0.3">
      <c r="A83" s="62" t="s">
        <v>282</v>
      </c>
      <c r="B83" s="223"/>
      <c r="C83" s="16">
        <v>30</v>
      </c>
    </row>
    <row r="84" spans="1:3" ht="16.5" thickBot="1" x14ac:dyDescent="0.3">
      <c r="A84" s="34" t="s">
        <v>283</v>
      </c>
      <c r="B84" s="63">
        <f>B83/$B$27</f>
        <v>0</v>
      </c>
    </row>
    <row r="85" spans="1:3" ht="16.5" thickBot="1" x14ac:dyDescent="0.3">
      <c r="A85" s="34" t="s">
        <v>284</v>
      </c>
      <c r="B85" s="144"/>
      <c r="C85" s="16">
        <v>1</v>
      </c>
    </row>
    <row r="86" spans="1:3" ht="16.5" thickBot="1" x14ac:dyDescent="0.3">
      <c r="A86" s="34" t="s">
        <v>285</v>
      </c>
      <c r="B86" s="144"/>
      <c r="C86" s="16">
        <v>2</v>
      </c>
    </row>
    <row r="87" spans="1:3" ht="16.5" thickBot="1" x14ac:dyDescent="0.3">
      <c r="A87" s="62" t="s">
        <v>282</v>
      </c>
      <c r="B87" s="223"/>
      <c r="C87" s="16">
        <v>30</v>
      </c>
    </row>
    <row r="88" spans="1:3" ht="16.5" thickBot="1" x14ac:dyDescent="0.3">
      <c r="A88" s="34" t="s">
        <v>283</v>
      </c>
      <c r="B88" s="63">
        <f>B87/$B$27</f>
        <v>0</v>
      </c>
    </row>
    <row r="89" spans="1:3" ht="16.5" thickBot="1" x14ac:dyDescent="0.3">
      <c r="A89" s="34" t="s">
        <v>284</v>
      </c>
      <c r="B89" s="144"/>
      <c r="C89" s="16">
        <v>1</v>
      </c>
    </row>
    <row r="90" spans="1:3" ht="16.5" thickBot="1" x14ac:dyDescent="0.3">
      <c r="A90" s="34" t="s">
        <v>285</v>
      </c>
      <c r="B90" s="144"/>
      <c r="C90" s="16">
        <v>2</v>
      </c>
    </row>
    <row r="91" spans="1:3" ht="16.5" thickBot="1" x14ac:dyDescent="0.3">
      <c r="A91" s="62" t="s">
        <v>282</v>
      </c>
      <c r="B91" s="223"/>
      <c r="C91" s="16">
        <v>30</v>
      </c>
    </row>
    <row r="92" spans="1:3" ht="16.5" thickBot="1" x14ac:dyDescent="0.3">
      <c r="A92" s="34" t="s">
        <v>283</v>
      </c>
      <c r="B92" s="63">
        <f>B91/$B$27</f>
        <v>0</v>
      </c>
    </row>
    <row r="93" spans="1:3" ht="16.5" thickBot="1" x14ac:dyDescent="0.3">
      <c r="A93" s="34" t="s">
        <v>284</v>
      </c>
      <c r="B93" s="144"/>
      <c r="C93" s="16">
        <v>1</v>
      </c>
    </row>
    <row r="94" spans="1:3" ht="16.5" thickBot="1" x14ac:dyDescent="0.3">
      <c r="A94" s="34" t="s">
        <v>285</v>
      </c>
      <c r="B94" s="144"/>
      <c r="C94" s="16">
        <v>2</v>
      </c>
    </row>
    <row r="95" spans="1:3" ht="29.25" thickBot="1" x14ac:dyDescent="0.3">
      <c r="A95" s="33" t="s">
        <v>288</v>
      </c>
      <c r="B95" s="334">
        <f>B30/B27</f>
        <v>0.95680112971486464</v>
      </c>
    </row>
    <row r="96" spans="1:3" ht="16.5" thickBot="1" x14ac:dyDescent="0.3">
      <c r="A96" s="35" t="s">
        <v>280</v>
      </c>
      <c r="B96" s="335"/>
    </row>
    <row r="97" spans="1:3" ht="16.5" thickBot="1" x14ac:dyDescent="0.3">
      <c r="A97" s="35" t="s">
        <v>289</v>
      </c>
      <c r="B97" s="334">
        <f>B34-B99</f>
        <v>0.630250781071369</v>
      </c>
    </row>
    <row r="98" spans="1:3" ht="16.5" thickBot="1" x14ac:dyDescent="0.3">
      <c r="A98" s="35" t="s">
        <v>290</v>
      </c>
      <c r="B98" s="334">
        <f>B49/B27</f>
        <v>0.31530098859198563</v>
      </c>
    </row>
    <row r="99" spans="1:3" ht="16.5" thickBot="1" x14ac:dyDescent="0.3">
      <c r="A99" s="35" t="s">
        <v>291</v>
      </c>
      <c r="B99" s="334">
        <f>0.64498782*1.2/B27</f>
        <v>1.0175829236049252E-2</v>
      </c>
    </row>
    <row r="100" spans="1:3" s="330" customFormat="1" ht="34.5" customHeight="1" thickBot="1" x14ac:dyDescent="0.3">
      <c r="A100" s="327" t="s">
        <v>590</v>
      </c>
      <c r="B100" s="328">
        <f xml:space="preserve"> SUMIF(C101:C108, 40,B101:B108)</f>
        <v>0</v>
      </c>
      <c r="C100" s="329"/>
    </row>
    <row r="101" spans="1:3" s="332" customFormat="1" ht="16.5" thickBot="1" x14ac:dyDescent="0.3">
      <c r="A101" s="62" t="s">
        <v>282</v>
      </c>
      <c r="B101" s="223"/>
      <c r="C101" s="331">
        <v>40</v>
      </c>
    </row>
    <row r="102" spans="1:3" s="332" customFormat="1" ht="16.5" thickBot="1" x14ac:dyDescent="0.3">
      <c r="A102" s="34" t="s">
        <v>283</v>
      </c>
      <c r="B102" s="63">
        <f t="shared" ref="B102" si="1">B101/$B$27</f>
        <v>0</v>
      </c>
    </row>
    <row r="103" spans="1:3" s="332" customFormat="1" ht="16.5" thickBot="1" x14ac:dyDescent="0.3">
      <c r="A103" s="34" t="s">
        <v>284</v>
      </c>
      <c r="B103" s="144"/>
      <c r="C103" s="332">
        <v>1</v>
      </c>
    </row>
    <row r="104" spans="1:3" s="332" customFormat="1" ht="16.5" thickBot="1" x14ac:dyDescent="0.3">
      <c r="A104" s="34" t="s">
        <v>285</v>
      </c>
      <c r="B104" s="144"/>
      <c r="C104" s="332">
        <v>2</v>
      </c>
    </row>
    <row r="105" spans="1:3" s="332" customFormat="1" ht="16.5" thickBot="1" x14ac:dyDescent="0.3">
      <c r="A105" s="62" t="s">
        <v>282</v>
      </c>
      <c r="B105" s="223"/>
      <c r="C105" s="331">
        <v>40</v>
      </c>
    </row>
    <row r="106" spans="1:3" s="332" customFormat="1" ht="16.5" thickBot="1" x14ac:dyDescent="0.3">
      <c r="A106" s="34" t="s">
        <v>283</v>
      </c>
      <c r="B106" s="63">
        <f>B105/$B$27</f>
        <v>0</v>
      </c>
    </row>
    <row r="107" spans="1:3" s="332" customFormat="1" ht="16.5" thickBot="1" x14ac:dyDescent="0.3">
      <c r="A107" s="34" t="s">
        <v>284</v>
      </c>
      <c r="B107" s="144"/>
      <c r="C107" s="332">
        <v>1</v>
      </c>
    </row>
    <row r="108" spans="1:3" s="332" customFormat="1" ht="16.5" thickBot="1" x14ac:dyDescent="0.3">
      <c r="A108" s="34" t="s">
        <v>285</v>
      </c>
      <c r="B108" s="144"/>
      <c r="C108" s="332">
        <v>2</v>
      </c>
    </row>
    <row r="109" spans="1:3" ht="16.5" thickBot="1" x14ac:dyDescent="0.3">
      <c r="A109" s="31" t="s">
        <v>292</v>
      </c>
      <c r="B109" s="64">
        <f>B110/$B$27</f>
        <v>0.21832810860327337</v>
      </c>
    </row>
    <row r="110" spans="1:3" ht="16.5" thickBot="1" x14ac:dyDescent="0.3">
      <c r="A110" s="31" t="s">
        <v>293</v>
      </c>
      <c r="B110" s="145">
        <f xml:space="preserve"> SUMIF(C33:C108, 1,B33:B108)</f>
        <v>16.60628938</v>
      </c>
    </row>
    <row r="111" spans="1:3" ht="16.5" thickBot="1" x14ac:dyDescent="0.3">
      <c r="A111" s="31" t="s">
        <v>294</v>
      </c>
      <c r="B111" s="64">
        <f>B112/$B$27</f>
        <v>0.21832810860327337</v>
      </c>
    </row>
    <row r="112" spans="1:3" ht="16.5" thickBot="1" x14ac:dyDescent="0.3">
      <c r="A112" s="32" t="s">
        <v>295</v>
      </c>
      <c r="B112" s="145">
        <f xml:space="preserve"> SUMIF(C33:C108, 2,B33:B108)</f>
        <v>16.60628938</v>
      </c>
    </row>
    <row r="113" spans="1:2" ht="15.75" customHeight="1" x14ac:dyDescent="0.25">
      <c r="A113" s="33" t="s">
        <v>296</v>
      </c>
      <c r="B113" s="35" t="s">
        <v>401</v>
      </c>
    </row>
    <row r="114" spans="1:2" x14ac:dyDescent="0.25">
      <c r="A114" s="36" t="s">
        <v>297</v>
      </c>
      <c r="B114" s="36" t="s">
        <v>591</v>
      </c>
    </row>
    <row r="115" spans="1:2" ht="30" x14ac:dyDescent="0.25">
      <c r="A115" s="36" t="s">
        <v>298</v>
      </c>
      <c r="B115" s="36" t="s">
        <v>621</v>
      </c>
    </row>
    <row r="116" spans="1:2" x14ac:dyDescent="0.25">
      <c r="A116" s="36" t="s">
        <v>299</v>
      </c>
      <c r="B116" s="36"/>
    </row>
    <row r="117" spans="1:2" ht="30" x14ac:dyDescent="0.25">
      <c r="A117" s="36" t="s">
        <v>300</v>
      </c>
      <c r="B117" s="36" t="s">
        <v>621</v>
      </c>
    </row>
    <row r="118" spans="1:2" ht="75.75" thickBot="1" x14ac:dyDescent="0.3">
      <c r="A118" s="37" t="s">
        <v>301</v>
      </c>
      <c r="B118" s="37" t="s">
        <v>681</v>
      </c>
    </row>
    <row r="119" spans="1:2" ht="30.75" thickBot="1" x14ac:dyDescent="0.3">
      <c r="A119" s="35" t="s">
        <v>302</v>
      </c>
      <c r="B119" s="65" t="s">
        <v>475</v>
      </c>
    </row>
    <row r="120" spans="1:2" ht="29.25" thickBot="1" x14ac:dyDescent="0.3">
      <c r="A120" s="31" t="s">
        <v>303</v>
      </c>
      <c r="B120" s="320">
        <v>7</v>
      </c>
    </row>
    <row r="121" spans="1:2" ht="16.5" thickBot="1" x14ac:dyDescent="0.3">
      <c r="A121" s="35" t="s">
        <v>280</v>
      </c>
      <c r="B121" s="321"/>
    </row>
    <row r="122" spans="1:2" ht="16.5" thickBot="1" x14ac:dyDescent="0.3">
      <c r="A122" s="35" t="s">
        <v>304</v>
      </c>
      <c r="B122" s="320">
        <v>4</v>
      </c>
    </row>
    <row r="123" spans="1:2" ht="16.5" thickBot="1" x14ac:dyDescent="0.3">
      <c r="A123" s="35" t="s">
        <v>305</v>
      </c>
      <c r="B123" s="321">
        <v>3</v>
      </c>
    </row>
    <row r="124" spans="1:2" ht="30.75" thickBot="1" x14ac:dyDescent="0.3">
      <c r="A124" s="40" t="s">
        <v>306</v>
      </c>
      <c r="B124" s="429" t="s">
        <v>682</v>
      </c>
    </row>
    <row r="125" spans="1:2" ht="16.5" thickBot="1" x14ac:dyDescent="0.3">
      <c r="A125" s="31" t="s">
        <v>307</v>
      </c>
      <c r="B125" s="67"/>
    </row>
    <row r="126" spans="1:2" ht="16.5" thickBot="1" x14ac:dyDescent="0.3">
      <c r="A126" s="36" t="s">
        <v>308</v>
      </c>
      <c r="B126" s="224">
        <f>'6.1. Паспорт сетевой график'!F43</f>
        <v>45233</v>
      </c>
    </row>
    <row r="127" spans="1:2" ht="16.5" thickBot="1" x14ac:dyDescent="0.3">
      <c r="A127" s="36" t="s">
        <v>309</v>
      </c>
      <c r="B127" s="68" t="s">
        <v>475</v>
      </c>
    </row>
    <row r="128" spans="1:2" ht="16.5" thickBot="1" x14ac:dyDescent="0.3">
      <c r="A128" s="36" t="s">
        <v>310</v>
      </c>
      <c r="B128" s="68" t="s">
        <v>475</v>
      </c>
    </row>
    <row r="129" spans="1:2" ht="29.25" thickBot="1" x14ac:dyDescent="0.3">
      <c r="A129" s="41" t="s">
        <v>311</v>
      </c>
      <c r="B129" s="66" t="s">
        <v>475</v>
      </c>
    </row>
    <row r="130" spans="1:2" ht="28.5" customHeight="1" x14ac:dyDescent="0.25">
      <c r="A130" s="33" t="s">
        <v>312</v>
      </c>
      <c r="B130" s="560" t="s">
        <v>475</v>
      </c>
    </row>
    <row r="131" spans="1:2" x14ac:dyDescent="0.25">
      <c r="A131" s="36" t="s">
        <v>313</v>
      </c>
      <c r="B131" s="561"/>
    </row>
    <row r="132" spans="1:2" x14ac:dyDescent="0.25">
      <c r="A132" s="36" t="s">
        <v>314</v>
      </c>
      <c r="B132" s="561"/>
    </row>
    <row r="133" spans="1:2" x14ac:dyDescent="0.25">
      <c r="A133" s="36" t="s">
        <v>315</v>
      </c>
      <c r="B133" s="561"/>
    </row>
    <row r="134" spans="1:2" x14ac:dyDescent="0.25">
      <c r="A134" s="36" t="s">
        <v>316</v>
      </c>
      <c r="B134" s="561"/>
    </row>
    <row r="135" spans="1:2" ht="16.5" thickBot="1" x14ac:dyDescent="0.3">
      <c r="A135" s="42" t="s">
        <v>317</v>
      </c>
      <c r="B135" s="562"/>
    </row>
    <row r="138" spans="1:2" x14ac:dyDescent="0.25">
      <c r="A138" s="43"/>
      <c r="B138" s="44"/>
    </row>
    <row r="139" spans="1:2" x14ac:dyDescent="0.25">
      <c r="B139" s="45"/>
    </row>
    <row r="140" spans="1:2" x14ac:dyDescent="0.25">
      <c r="B140" s="46"/>
    </row>
  </sheetData>
  <mergeCells count="10">
    <mergeCell ref="A15:B15"/>
    <mergeCell ref="A16:B16"/>
    <mergeCell ref="A18:B18"/>
    <mergeCell ref="B130:B13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2"/>
  <sheetViews>
    <sheetView view="pageBreakPreview" topLeftCell="A21" zoomScale="55" zoomScaleSheetLayoutView="55" workbookViewId="0">
      <selection activeCell="J26" sqref="J26"/>
    </sheetView>
  </sheetViews>
  <sheetFormatPr defaultColWidth="9.140625" defaultRowHeight="15" x14ac:dyDescent="0.25"/>
  <cols>
    <col min="1" max="1" width="7.42578125" style="70" customWidth="1"/>
    <col min="2" max="2" width="35.85546875" style="70" customWidth="1"/>
    <col min="3" max="3" width="26.7109375" style="70" customWidth="1"/>
    <col min="4" max="4" width="25" style="70" customWidth="1"/>
    <col min="5" max="5" width="50" style="70" customWidth="1"/>
    <col min="6" max="6" width="57" style="70" customWidth="1"/>
    <col min="7" max="7" width="57.57031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207.85546875" style="70" customWidth="1"/>
    <col min="18" max="18" width="27" style="70" customWidth="1"/>
    <col min="19" max="19" width="43" style="70" customWidth="1"/>
    <col min="20"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0" t="str">
        <f>CONCATENATE('1. паспорт местоположение'!A5:B5,'1. паспорт местоположение'!C5)</f>
        <v>Год раскрытия информации: 2025 год</v>
      </c>
      <c r="B4" s="430"/>
      <c r="C4" s="430"/>
      <c r="D4" s="430"/>
      <c r="E4" s="430"/>
      <c r="F4" s="430"/>
      <c r="G4" s="430"/>
      <c r="H4" s="430"/>
      <c r="I4" s="430"/>
      <c r="J4" s="430"/>
      <c r="K4" s="430"/>
      <c r="L4" s="430"/>
      <c r="M4" s="430"/>
      <c r="N4" s="430"/>
      <c r="O4" s="430"/>
      <c r="P4" s="430"/>
      <c r="Q4" s="430"/>
      <c r="R4" s="430"/>
      <c r="S4" s="430"/>
    </row>
    <row r="5" spans="1:28" s="2" customFormat="1" ht="15.75" x14ac:dyDescent="0.2">
      <c r="A5" s="72"/>
    </row>
    <row r="6" spans="1:28" s="2" customFormat="1" ht="18.75" x14ac:dyDescent="0.2">
      <c r="A6" s="437" t="s">
        <v>7</v>
      </c>
      <c r="B6" s="437"/>
      <c r="C6" s="437"/>
      <c r="D6" s="437"/>
      <c r="E6" s="437"/>
      <c r="F6" s="437"/>
      <c r="G6" s="437"/>
      <c r="H6" s="437"/>
      <c r="I6" s="437"/>
      <c r="J6" s="437"/>
      <c r="K6" s="437"/>
      <c r="L6" s="437"/>
      <c r="M6" s="437"/>
      <c r="N6" s="437"/>
      <c r="O6" s="437"/>
      <c r="P6" s="437"/>
      <c r="Q6" s="437"/>
      <c r="R6" s="437"/>
      <c r="S6" s="437"/>
      <c r="T6" s="73"/>
      <c r="U6" s="73"/>
      <c r="V6" s="73"/>
      <c r="W6" s="73"/>
      <c r="X6" s="73"/>
      <c r="Y6" s="73"/>
      <c r="Z6" s="73"/>
      <c r="AA6" s="73"/>
      <c r="AB6" s="73"/>
    </row>
    <row r="7" spans="1:28" s="2" customFormat="1" ht="18.75" x14ac:dyDescent="0.2">
      <c r="A7" s="437"/>
      <c r="B7" s="437"/>
      <c r="C7" s="437"/>
      <c r="D7" s="437"/>
      <c r="E7" s="437"/>
      <c r="F7" s="437"/>
      <c r="G7" s="437"/>
      <c r="H7" s="437"/>
      <c r="I7" s="437"/>
      <c r="J7" s="437"/>
      <c r="K7" s="437"/>
      <c r="L7" s="437"/>
      <c r="M7" s="437"/>
      <c r="N7" s="437"/>
      <c r="O7" s="437"/>
      <c r="P7" s="437"/>
      <c r="Q7" s="437"/>
      <c r="R7" s="437"/>
      <c r="S7" s="437"/>
      <c r="T7" s="73"/>
      <c r="U7" s="73"/>
      <c r="V7" s="73"/>
      <c r="W7" s="73"/>
      <c r="X7" s="73"/>
      <c r="Y7" s="73"/>
      <c r="Z7" s="73"/>
      <c r="AA7" s="73"/>
      <c r="AB7" s="73"/>
    </row>
    <row r="8" spans="1:28" s="2" customFormat="1" ht="18.75" x14ac:dyDescent="0.2">
      <c r="A8" s="442" t="str">
        <f>'1. паспорт местоположение'!A9:C9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73"/>
      <c r="U8" s="73"/>
      <c r="V8" s="73"/>
      <c r="W8" s="73"/>
      <c r="X8" s="73"/>
      <c r="Y8" s="73"/>
      <c r="Z8" s="73"/>
      <c r="AA8" s="73"/>
      <c r="AB8" s="73"/>
    </row>
    <row r="9" spans="1:28" s="2" customFormat="1" ht="18.75" x14ac:dyDescent="0.2">
      <c r="A9" s="434" t="s">
        <v>6</v>
      </c>
      <c r="B9" s="434"/>
      <c r="C9" s="434"/>
      <c r="D9" s="434"/>
      <c r="E9" s="434"/>
      <c r="F9" s="434"/>
      <c r="G9" s="434"/>
      <c r="H9" s="434"/>
      <c r="I9" s="434"/>
      <c r="J9" s="434"/>
      <c r="K9" s="434"/>
      <c r="L9" s="434"/>
      <c r="M9" s="434"/>
      <c r="N9" s="434"/>
      <c r="O9" s="434"/>
      <c r="P9" s="434"/>
      <c r="Q9" s="434"/>
      <c r="R9" s="434"/>
      <c r="S9" s="434"/>
      <c r="T9" s="73"/>
      <c r="U9" s="73"/>
      <c r="V9" s="73"/>
      <c r="W9" s="73"/>
      <c r="X9" s="73"/>
      <c r="Y9" s="73"/>
      <c r="Z9" s="73"/>
      <c r="AA9" s="73"/>
      <c r="AB9" s="73"/>
    </row>
    <row r="10" spans="1:28" s="2" customFormat="1" ht="18.75" x14ac:dyDescent="0.2">
      <c r="A10" s="437"/>
      <c r="B10" s="437"/>
      <c r="C10" s="437"/>
      <c r="D10" s="437"/>
      <c r="E10" s="437"/>
      <c r="F10" s="437"/>
      <c r="G10" s="437"/>
      <c r="H10" s="437"/>
      <c r="I10" s="437"/>
      <c r="J10" s="437"/>
      <c r="K10" s="437"/>
      <c r="L10" s="437"/>
      <c r="M10" s="437"/>
      <c r="N10" s="437"/>
      <c r="O10" s="437"/>
      <c r="P10" s="437"/>
      <c r="Q10" s="437"/>
      <c r="R10" s="437"/>
      <c r="S10" s="437"/>
      <c r="T10" s="73"/>
      <c r="U10" s="73"/>
      <c r="V10" s="73"/>
      <c r="W10" s="73"/>
      <c r="X10" s="73"/>
      <c r="Y10" s="73"/>
      <c r="Z10" s="73"/>
      <c r="AA10" s="73"/>
      <c r="AB10" s="73"/>
    </row>
    <row r="11" spans="1:28" s="2" customFormat="1" ht="18.75" x14ac:dyDescent="0.2">
      <c r="A11" s="442" t="str">
        <f>'1. паспорт местоположение'!A12:C12</f>
        <v>N_21-0947</v>
      </c>
      <c r="B11" s="442"/>
      <c r="C11" s="442"/>
      <c r="D11" s="442"/>
      <c r="E11" s="442"/>
      <c r="F11" s="442"/>
      <c r="G11" s="442"/>
      <c r="H11" s="442"/>
      <c r="I11" s="442"/>
      <c r="J11" s="442"/>
      <c r="K11" s="442"/>
      <c r="L11" s="442"/>
      <c r="M11" s="442"/>
      <c r="N11" s="442"/>
      <c r="O11" s="442"/>
      <c r="P11" s="442"/>
      <c r="Q11" s="442"/>
      <c r="R11" s="442"/>
      <c r="S11" s="442"/>
      <c r="T11" s="73"/>
      <c r="U11" s="73"/>
      <c r="V11" s="73"/>
      <c r="W11" s="73"/>
      <c r="X11" s="73"/>
      <c r="Y11" s="73"/>
      <c r="Z11" s="73"/>
      <c r="AA11" s="73"/>
      <c r="AB11" s="73"/>
    </row>
    <row r="12" spans="1:28" s="2" customFormat="1" ht="18.75" x14ac:dyDescent="0.2">
      <c r="A12" s="434" t="s">
        <v>5</v>
      </c>
      <c r="B12" s="434"/>
      <c r="C12" s="434"/>
      <c r="D12" s="434"/>
      <c r="E12" s="434"/>
      <c r="F12" s="434"/>
      <c r="G12" s="434"/>
      <c r="H12" s="434"/>
      <c r="I12" s="434"/>
      <c r="J12" s="434"/>
      <c r="K12" s="434"/>
      <c r="L12" s="434"/>
      <c r="M12" s="434"/>
      <c r="N12" s="434"/>
      <c r="O12" s="434"/>
      <c r="P12" s="434"/>
      <c r="Q12" s="434"/>
      <c r="R12" s="434"/>
      <c r="S12" s="434"/>
      <c r="T12" s="73"/>
      <c r="U12" s="73"/>
      <c r="V12" s="73"/>
      <c r="W12" s="73"/>
      <c r="X12" s="73"/>
      <c r="Y12" s="73"/>
      <c r="Z12" s="73"/>
      <c r="AA12" s="73"/>
      <c r="AB12" s="73"/>
    </row>
    <row r="13" spans="1:28" s="78" customFormat="1" ht="15.75" customHeight="1" x14ac:dyDescent="0.2">
      <c r="A13" s="443"/>
      <c r="B13" s="443"/>
      <c r="C13" s="443"/>
      <c r="D13" s="443"/>
      <c r="E13" s="443"/>
      <c r="F13" s="443"/>
      <c r="G13" s="443"/>
      <c r="H13" s="443"/>
      <c r="I13" s="443"/>
      <c r="J13" s="443"/>
      <c r="K13" s="443"/>
      <c r="L13" s="443"/>
      <c r="M13" s="443"/>
      <c r="N13" s="443"/>
      <c r="O13" s="443"/>
      <c r="P13" s="443"/>
      <c r="Q13" s="443"/>
      <c r="R13" s="443"/>
      <c r="S13" s="443"/>
      <c r="T13" s="77"/>
      <c r="U13" s="77"/>
      <c r="V13" s="77"/>
      <c r="W13" s="77"/>
      <c r="X13" s="77"/>
      <c r="Y13" s="77"/>
      <c r="Z13" s="77"/>
      <c r="AA13" s="77"/>
      <c r="AB13" s="77"/>
    </row>
    <row r="14" spans="1:28" s="79" customFormat="1" ht="15.75" x14ac:dyDescent="0.2">
      <c r="A14" s="439" t="str">
        <f>'1. паспорт местоположение'!A15:C15</f>
        <v>Строительство ТП 15/0,4 кВ, 2-х ЛЭП 15 кВ от ЗРУ 15 кВ ПС 110 кВ О-10, ЛЭП 0,4 кВ, организация системы учета электроэнергии в г. Зеленоградске, п. Вишневое</v>
      </c>
      <c r="B14" s="439"/>
      <c r="C14" s="439"/>
      <c r="D14" s="439"/>
      <c r="E14" s="439"/>
      <c r="F14" s="439"/>
      <c r="G14" s="439"/>
      <c r="H14" s="439"/>
      <c r="I14" s="439"/>
      <c r="J14" s="439"/>
      <c r="K14" s="439"/>
      <c r="L14" s="439"/>
      <c r="M14" s="439"/>
      <c r="N14" s="439"/>
      <c r="O14" s="439"/>
      <c r="P14" s="439"/>
      <c r="Q14" s="439"/>
      <c r="R14" s="439"/>
      <c r="S14" s="439"/>
      <c r="T14" s="75"/>
      <c r="U14" s="75"/>
      <c r="V14" s="75"/>
      <c r="W14" s="75"/>
      <c r="X14" s="75"/>
      <c r="Y14" s="75"/>
      <c r="Z14" s="75"/>
      <c r="AA14" s="75"/>
      <c r="AB14" s="75"/>
    </row>
    <row r="15" spans="1:28" s="79" customFormat="1" ht="15" customHeight="1" x14ac:dyDescent="0.2">
      <c r="A15" s="434" t="s">
        <v>4</v>
      </c>
      <c r="B15" s="434"/>
      <c r="C15" s="434"/>
      <c r="D15" s="434"/>
      <c r="E15" s="434"/>
      <c r="F15" s="434"/>
      <c r="G15" s="434"/>
      <c r="H15" s="434"/>
      <c r="I15" s="434"/>
      <c r="J15" s="434"/>
      <c r="K15" s="434"/>
      <c r="L15" s="434"/>
      <c r="M15" s="434"/>
      <c r="N15" s="434"/>
      <c r="O15" s="434"/>
      <c r="P15" s="434"/>
      <c r="Q15" s="434"/>
      <c r="R15" s="434"/>
      <c r="S15" s="434"/>
      <c r="T15" s="76"/>
      <c r="U15" s="76"/>
      <c r="V15" s="76"/>
      <c r="W15" s="76"/>
      <c r="X15" s="76"/>
      <c r="Y15" s="76"/>
      <c r="Z15" s="76"/>
      <c r="AA15" s="76"/>
      <c r="AB15" s="76"/>
    </row>
    <row r="16" spans="1:28" s="79"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80"/>
      <c r="U16" s="80"/>
      <c r="V16" s="80"/>
      <c r="W16" s="80"/>
      <c r="X16" s="80"/>
      <c r="Y16" s="80"/>
    </row>
    <row r="17" spans="1:28" s="79" customFormat="1" ht="45.75" customHeight="1" x14ac:dyDescent="0.2">
      <c r="A17" s="435" t="s">
        <v>348</v>
      </c>
      <c r="B17" s="435"/>
      <c r="C17" s="435"/>
      <c r="D17" s="435"/>
      <c r="E17" s="435"/>
      <c r="F17" s="435"/>
      <c r="G17" s="435"/>
      <c r="H17" s="435"/>
      <c r="I17" s="435"/>
      <c r="J17" s="435"/>
      <c r="K17" s="435"/>
      <c r="L17" s="435"/>
      <c r="M17" s="435"/>
      <c r="N17" s="435"/>
      <c r="O17" s="435"/>
      <c r="P17" s="435"/>
      <c r="Q17" s="435"/>
      <c r="R17" s="435"/>
      <c r="S17" s="435"/>
      <c r="T17" s="81"/>
      <c r="U17" s="81"/>
      <c r="V17" s="81"/>
      <c r="W17" s="81"/>
      <c r="X17" s="81"/>
      <c r="Y17" s="81"/>
      <c r="Z17" s="81"/>
      <c r="AA17" s="81"/>
      <c r="AB17" s="81"/>
    </row>
    <row r="18" spans="1:28" s="79"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80"/>
      <c r="U18" s="80"/>
      <c r="V18" s="80"/>
      <c r="W18" s="80"/>
      <c r="X18" s="80"/>
      <c r="Y18" s="80"/>
    </row>
    <row r="19" spans="1:28" s="79" customFormat="1" ht="54" customHeight="1" x14ac:dyDescent="0.2">
      <c r="A19" s="444" t="s">
        <v>3</v>
      </c>
      <c r="B19" s="444" t="s">
        <v>94</v>
      </c>
      <c r="C19" s="445" t="s">
        <v>271</v>
      </c>
      <c r="D19" s="444" t="s">
        <v>270</v>
      </c>
      <c r="E19" s="444" t="s">
        <v>93</v>
      </c>
      <c r="F19" s="444" t="s">
        <v>92</v>
      </c>
      <c r="G19" s="444" t="s">
        <v>266</v>
      </c>
      <c r="H19" s="444" t="s">
        <v>91</v>
      </c>
      <c r="I19" s="444" t="s">
        <v>90</v>
      </c>
      <c r="J19" s="444" t="s">
        <v>89</v>
      </c>
      <c r="K19" s="444" t="s">
        <v>88</v>
      </c>
      <c r="L19" s="444" t="s">
        <v>87</v>
      </c>
      <c r="M19" s="444" t="s">
        <v>86</v>
      </c>
      <c r="N19" s="444" t="s">
        <v>85</v>
      </c>
      <c r="O19" s="444" t="s">
        <v>84</v>
      </c>
      <c r="P19" s="444" t="s">
        <v>83</v>
      </c>
      <c r="Q19" s="444" t="s">
        <v>269</v>
      </c>
      <c r="R19" s="444"/>
      <c r="S19" s="447" t="s">
        <v>342</v>
      </c>
      <c r="T19" s="417"/>
      <c r="U19" s="417"/>
      <c r="V19" s="417"/>
      <c r="W19" s="417"/>
      <c r="X19" s="417"/>
      <c r="Y19" s="417"/>
    </row>
    <row r="20" spans="1:28" s="79" customFormat="1" ht="180.75" customHeight="1" x14ac:dyDescent="0.2">
      <c r="A20" s="444"/>
      <c r="B20" s="444"/>
      <c r="C20" s="446"/>
      <c r="D20" s="444"/>
      <c r="E20" s="444"/>
      <c r="F20" s="444"/>
      <c r="G20" s="444"/>
      <c r="H20" s="444"/>
      <c r="I20" s="444"/>
      <c r="J20" s="444"/>
      <c r="K20" s="444"/>
      <c r="L20" s="444"/>
      <c r="M20" s="444"/>
      <c r="N20" s="444"/>
      <c r="O20" s="444"/>
      <c r="P20" s="444"/>
      <c r="Q20" s="98" t="s">
        <v>267</v>
      </c>
      <c r="R20" s="99" t="s">
        <v>268</v>
      </c>
      <c r="S20" s="448"/>
      <c r="T20" s="86"/>
      <c r="U20" s="86"/>
      <c r="V20" s="86"/>
      <c r="W20" s="86"/>
      <c r="X20" s="86"/>
      <c r="Y20" s="86"/>
      <c r="Z20" s="87"/>
      <c r="AA20" s="87"/>
      <c r="AB20" s="87"/>
    </row>
    <row r="21" spans="1:28" s="79" customFormat="1" ht="18.75" x14ac:dyDescent="0.2">
      <c r="A21" s="98">
        <v>1</v>
      </c>
      <c r="B21" s="100">
        <v>2</v>
      </c>
      <c r="C21" s="98">
        <v>3</v>
      </c>
      <c r="D21" s="100">
        <v>4</v>
      </c>
      <c r="E21" s="98">
        <v>5</v>
      </c>
      <c r="F21" s="100">
        <v>6</v>
      </c>
      <c r="G21" s="98">
        <v>7</v>
      </c>
      <c r="H21" s="100">
        <v>8</v>
      </c>
      <c r="I21" s="98">
        <v>9</v>
      </c>
      <c r="J21" s="100">
        <v>10</v>
      </c>
      <c r="K21" s="98">
        <v>11</v>
      </c>
      <c r="L21" s="100">
        <v>12</v>
      </c>
      <c r="M21" s="98">
        <v>13</v>
      </c>
      <c r="N21" s="100">
        <v>14</v>
      </c>
      <c r="O21" s="98">
        <v>15</v>
      </c>
      <c r="P21" s="100">
        <v>16</v>
      </c>
      <c r="Q21" s="98">
        <v>17</v>
      </c>
      <c r="R21" s="100">
        <v>18</v>
      </c>
      <c r="S21" s="98">
        <v>19</v>
      </c>
      <c r="T21" s="86"/>
      <c r="U21" s="86"/>
      <c r="V21" s="86"/>
      <c r="W21" s="86"/>
      <c r="X21" s="86"/>
      <c r="Y21" s="86"/>
      <c r="Z21" s="87"/>
      <c r="AA21" s="87"/>
      <c r="AB21" s="87"/>
    </row>
    <row r="22" spans="1:28" s="79" customFormat="1" ht="173.25" x14ac:dyDescent="0.2">
      <c r="A22" s="389">
        <v>1</v>
      </c>
      <c r="B22" s="389" t="s">
        <v>609</v>
      </c>
      <c r="C22" s="389" t="s">
        <v>666</v>
      </c>
      <c r="D22" s="389" t="s">
        <v>667</v>
      </c>
      <c r="E22" s="389" t="s">
        <v>603</v>
      </c>
      <c r="F22" s="389" t="s">
        <v>604</v>
      </c>
      <c r="G22" s="389" t="s">
        <v>668</v>
      </c>
      <c r="H22" s="389">
        <v>0.36299999999999999</v>
      </c>
      <c r="I22" s="389"/>
      <c r="J22" s="389">
        <v>0.36299999999999999</v>
      </c>
      <c r="K22" s="389" t="s">
        <v>593</v>
      </c>
      <c r="L22" s="389">
        <v>2</v>
      </c>
      <c r="M22" s="389">
        <v>2</v>
      </c>
      <c r="N22" s="389">
        <v>2</v>
      </c>
      <c r="O22" s="389"/>
      <c r="P22" s="389"/>
      <c r="Q22" s="572" t="s">
        <v>669</v>
      </c>
      <c r="R22" s="389"/>
      <c r="S22" s="389">
        <v>25.60710796</v>
      </c>
      <c r="T22" s="86"/>
      <c r="U22" s="86"/>
      <c r="V22" s="86"/>
      <c r="W22" s="86"/>
      <c r="X22" s="86"/>
      <c r="Y22" s="86"/>
      <c r="Z22" s="87"/>
      <c r="AA22" s="87"/>
      <c r="AB22" s="87"/>
    </row>
    <row r="23" spans="1:28" s="79" customFormat="1" ht="173.25" x14ac:dyDescent="0.2">
      <c r="A23" s="389">
        <v>2</v>
      </c>
      <c r="B23" s="390" t="s">
        <v>605</v>
      </c>
      <c r="C23" s="389"/>
      <c r="D23" s="390" t="s">
        <v>670</v>
      </c>
      <c r="E23" s="390" t="s">
        <v>606</v>
      </c>
      <c r="F23" s="390" t="s">
        <v>607</v>
      </c>
      <c r="G23" s="390" t="s">
        <v>671</v>
      </c>
      <c r="H23" s="390">
        <v>0.14649999999999999</v>
      </c>
      <c r="I23" s="390"/>
      <c r="J23" s="390">
        <v>0.14649999999999999</v>
      </c>
      <c r="K23" s="390" t="s">
        <v>593</v>
      </c>
      <c r="L23" s="390">
        <v>2</v>
      </c>
      <c r="M23" s="390">
        <v>2</v>
      </c>
      <c r="N23" s="390">
        <v>2</v>
      </c>
      <c r="O23" s="390"/>
      <c r="P23" s="390"/>
      <c r="Q23" s="391" t="s">
        <v>672</v>
      </c>
      <c r="R23" s="389"/>
      <c r="S23" s="390">
        <v>0.20048759999999999</v>
      </c>
      <c r="T23" s="86"/>
      <c r="U23" s="86"/>
      <c r="V23" s="86"/>
      <c r="W23" s="86"/>
      <c r="X23" s="86"/>
      <c r="Y23" s="86"/>
      <c r="Z23" s="87"/>
      <c r="AA23" s="87"/>
      <c r="AB23" s="87"/>
    </row>
    <row r="24" spans="1:28" s="79" customFormat="1" ht="299.25" x14ac:dyDescent="0.2">
      <c r="A24" s="389">
        <v>3</v>
      </c>
      <c r="B24" s="390" t="s">
        <v>608</v>
      </c>
      <c r="C24" s="390" t="s">
        <v>673</v>
      </c>
      <c r="D24" s="390" t="s">
        <v>670</v>
      </c>
      <c r="E24" s="390" t="s">
        <v>603</v>
      </c>
      <c r="F24" s="390" t="s">
        <v>607</v>
      </c>
      <c r="G24" s="390" t="s">
        <v>674</v>
      </c>
      <c r="H24" s="390">
        <v>0.65</v>
      </c>
      <c r="I24" s="390"/>
      <c r="J24" s="390">
        <v>0.65</v>
      </c>
      <c r="K24" s="390" t="s">
        <v>593</v>
      </c>
      <c r="L24" s="390">
        <v>2</v>
      </c>
      <c r="M24" s="390">
        <v>2</v>
      </c>
      <c r="N24" s="390">
        <v>2</v>
      </c>
      <c r="O24" s="390"/>
      <c r="P24" s="390"/>
      <c r="Q24" s="391" t="s">
        <v>675</v>
      </c>
      <c r="R24" s="389"/>
      <c r="S24" s="390">
        <v>39.00273</v>
      </c>
      <c r="T24" s="86"/>
      <c r="U24" s="86"/>
      <c r="V24" s="86"/>
      <c r="W24" s="86"/>
      <c r="X24" s="86"/>
      <c r="Y24" s="86"/>
      <c r="Z24" s="87"/>
      <c r="AA24" s="87"/>
      <c r="AB24" s="87"/>
    </row>
    <row r="25" spans="1:28" s="79" customFormat="1" ht="18.75" x14ac:dyDescent="0.2">
      <c r="A25" s="98"/>
      <c r="B25" s="100" t="s">
        <v>476</v>
      </c>
      <c r="C25" s="100"/>
      <c r="D25" s="100"/>
      <c r="E25" s="100"/>
      <c r="F25" s="100"/>
      <c r="G25" s="100"/>
      <c r="H25" s="54">
        <f>SUM(H22:H24)</f>
        <v>1.1595</v>
      </c>
      <c r="I25" s="3"/>
      <c r="J25" s="54">
        <f>SUM(J22:J24)</f>
        <v>1.1595</v>
      </c>
      <c r="K25" s="3"/>
      <c r="L25" s="3"/>
      <c r="M25" s="3"/>
      <c r="N25" s="3"/>
      <c r="O25" s="3"/>
      <c r="P25" s="3"/>
      <c r="Q25" s="3"/>
      <c r="R25" s="101"/>
      <c r="S25" s="54">
        <f>SUM(S22:S24)</f>
        <v>64.810325559999995</v>
      </c>
      <c r="T25" s="86"/>
      <c r="U25" s="86"/>
      <c r="V25" s="86"/>
      <c r="W25" s="86"/>
      <c r="X25" s="87"/>
      <c r="Y25" s="87"/>
      <c r="Z25" s="87"/>
      <c r="AA25" s="87"/>
      <c r="AB25" s="87"/>
    </row>
    <row r="26" spans="1:28"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c r="AA26" s="97"/>
      <c r="AB26" s="97"/>
    </row>
    <row r="27" spans="1:28"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row>
    <row r="28" spans="1:28"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row>
    <row r="29" spans="1:28"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row r="361" spans="1:28" x14ac:dyDescent="0.25">
      <c r="A361" s="97"/>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c r="AA361" s="97"/>
      <c r="AB361" s="97"/>
    </row>
    <row r="362" spans="1:28" x14ac:dyDescent="0.25">
      <c r="A362" s="97"/>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c r="AA362" s="97"/>
      <c r="AB362" s="9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1"/>
  <sheetViews>
    <sheetView view="pageBreakPreview" topLeftCell="A14" zoomScale="80" zoomScaleNormal="60" zoomScaleSheetLayoutView="80" workbookViewId="0">
      <selection activeCell="J32" sqref="J32"/>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14.85546875" style="6" customWidth="1"/>
    <col min="7" max="7" width="8.7109375" style="6" customWidth="1"/>
    <col min="8" max="8" width="17.7109375" style="152"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53"/>
      <c r="T2" s="1" t="s">
        <v>8</v>
      </c>
    </row>
    <row r="3" spans="1:20" s="2" customFormat="1" ht="18.75" customHeight="1" x14ac:dyDescent="0.3">
      <c r="H3" s="153"/>
      <c r="T3" s="1" t="s">
        <v>65</v>
      </c>
    </row>
    <row r="4" spans="1:20" s="2" customFormat="1" ht="18.75" customHeight="1" x14ac:dyDescent="0.3">
      <c r="H4" s="153"/>
      <c r="T4" s="1"/>
    </row>
    <row r="5" spans="1:20" s="2" customFormat="1" x14ac:dyDescent="0.2">
      <c r="A5" s="430" t="str">
        <f>'2. паспорт  ТП'!A4</f>
        <v>Год раскрытия информации: 2025 год</v>
      </c>
      <c r="B5" s="430"/>
      <c r="C5" s="430"/>
      <c r="D5" s="430"/>
      <c r="E5" s="430"/>
      <c r="F5" s="430"/>
      <c r="G5" s="430"/>
      <c r="H5" s="430"/>
      <c r="I5" s="430"/>
      <c r="J5" s="430"/>
      <c r="K5" s="430"/>
      <c r="L5" s="430"/>
      <c r="M5" s="430"/>
      <c r="N5" s="430"/>
      <c r="O5" s="430"/>
      <c r="P5" s="430"/>
      <c r="Q5" s="430"/>
      <c r="R5" s="430"/>
      <c r="S5" s="430"/>
      <c r="T5" s="430"/>
    </row>
    <row r="6" spans="1:20" s="2" customFormat="1" x14ac:dyDescent="0.2">
      <c r="A6" s="72"/>
      <c r="H6" s="153"/>
    </row>
    <row r="7" spans="1:20" s="2" customFormat="1" ht="18.75" x14ac:dyDescent="0.2">
      <c r="A7" s="437" t="s">
        <v>7</v>
      </c>
      <c r="B7" s="437"/>
      <c r="C7" s="437"/>
      <c r="D7" s="437"/>
      <c r="E7" s="437"/>
      <c r="F7" s="437"/>
      <c r="G7" s="437"/>
      <c r="H7" s="437"/>
      <c r="I7" s="437"/>
      <c r="J7" s="437"/>
      <c r="K7" s="437"/>
      <c r="L7" s="437"/>
      <c r="M7" s="437"/>
      <c r="N7" s="437"/>
      <c r="O7" s="437"/>
      <c r="P7" s="437"/>
      <c r="Q7" s="437"/>
      <c r="R7" s="437"/>
      <c r="S7" s="437"/>
      <c r="T7" s="437"/>
    </row>
    <row r="8" spans="1:20" s="2" customFormat="1" ht="18.75" x14ac:dyDescent="0.2">
      <c r="A8" s="437"/>
      <c r="B8" s="437"/>
      <c r="C8" s="437"/>
      <c r="D8" s="437"/>
      <c r="E8" s="437"/>
      <c r="F8" s="437"/>
      <c r="G8" s="437"/>
      <c r="H8" s="437"/>
      <c r="I8" s="437"/>
      <c r="J8" s="437"/>
      <c r="K8" s="437"/>
      <c r="L8" s="437"/>
      <c r="M8" s="437"/>
      <c r="N8" s="437"/>
      <c r="O8" s="437"/>
      <c r="P8" s="437"/>
      <c r="Q8" s="437"/>
      <c r="R8" s="437"/>
      <c r="S8" s="437"/>
      <c r="T8" s="437"/>
    </row>
    <row r="9" spans="1:20" s="2" customFormat="1" ht="18.75" customHeight="1" x14ac:dyDescent="0.2">
      <c r="A9" s="442" t="str">
        <f>'2. паспорт  ТП'!A8</f>
        <v>Акционерное общество "Россети Янтарь" ДЗО  ПАО "Россети"</v>
      </c>
      <c r="B9" s="442"/>
      <c r="C9" s="442"/>
      <c r="D9" s="442"/>
      <c r="E9" s="442"/>
      <c r="F9" s="442"/>
      <c r="G9" s="442"/>
      <c r="H9" s="442"/>
      <c r="I9" s="442"/>
      <c r="J9" s="442"/>
      <c r="K9" s="442"/>
      <c r="L9" s="442"/>
      <c r="M9" s="442"/>
      <c r="N9" s="442"/>
      <c r="O9" s="442"/>
      <c r="P9" s="442"/>
      <c r="Q9" s="442"/>
      <c r="R9" s="442"/>
      <c r="S9" s="442"/>
      <c r="T9" s="442"/>
    </row>
    <row r="10" spans="1:20" s="2" customFormat="1" ht="18.75" customHeight="1" x14ac:dyDescent="0.2">
      <c r="A10" s="434" t="s">
        <v>6</v>
      </c>
      <c r="B10" s="434"/>
      <c r="C10" s="434"/>
      <c r="D10" s="434"/>
      <c r="E10" s="434"/>
      <c r="F10" s="434"/>
      <c r="G10" s="434"/>
      <c r="H10" s="434"/>
      <c r="I10" s="434"/>
      <c r="J10" s="434"/>
      <c r="K10" s="434"/>
      <c r="L10" s="434"/>
      <c r="M10" s="434"/>
      <c r="N10" s="434"/>
      <c r="O10" s="434"/>
      <c r="P10" s="434"/>
      <c r="Q10" s="434"/>
      <c r="R10" s="434"/>
      <c r="S10" s="434"/>
      <c r="T10" s="434"/>
    </row>
    <row r="11" spans="1:20" s="2" customFormat="1" ht="18.75" x14ac:dyDescent="0.2">
      <c r="A11" s="437"/>
      <c r="B11" s="437"/>
      <c r="C11" s="437"/>
      <c r="D11" s="437"/>
      <c r="E11" s="437"/>
      <c r="F11" s="437"/>
      <c r="G11" s="437"/>
      <c r="H11" s="437"/>
      <c r="I11" s="437"/>
      <c r="J11" s="437"/>
      <c r="K11" s="437"/>
      <c r="L11" s="437"/>
      <c r="M11" s="437"/>
      <c r="N11" s="437"/>
      <c r="O11" s="437"/>
      <c r="P11" s="437"/>
      <c r="Q11" s="437"/>
      <c r="R11" s="437"/>
      <c r="S11" s="437"/>
      <c r="T11" s="437"/>
    </row>
    <row r="12" spans="1:20" s="2" customFormat="1" ht="18.75" customHeight="1" x14ac:dyDescent="0.2">
      <c r="A12" s="442" t="str">
        <f>'2. паспорт  ТП'!A11</f>
        <v>N_21-0947</v>
      </c>
      <c r="B12" s="442"/>
      <c r="C12" s="442"/>
      <c r="D12" s="442"/>
      <c r="E12" s="442"/>
      <c r="F12" s="442"/>
      <c r="G12" s="442"/>
      <c r="H12" s="442"/>
      <c r="I12" s="442"/>
      <c r="J12" s="442"/>
      <c r="K12" s="442"/>
      <c r="L12" s="442"/>
      <c r="M12" s="442"/>
      <c r="N12" s="442"/>
      <c r="O12" s="442"/>
      <c r="P12" s="442"/>
      <c r="Q12" s="442"/>
      <c r="R12" s="442"/>
      <c r="S12" s="442"/>
      <c r="T12" s="442"/>
    </row>
    <row r="13" spans="1:20" s="2" customFormat="1" ht="18.75" customHeight="1" x14ac:dyDescent="0.2">
      <c r="A13" s="434" t="s">
        <v>5</v>
      </c>
      <c r="B13" s="434"/>
      <c r="C13" s="434"/>
      <c r="D13" s="434"/>
      <c r="E13" s="434"/>
      <c r="F13" s="434"/>
      <c r="G13" s="434"/>
      <c r="H13" s="434"/>
      <c r="I13" s="434"/>
      <c r="J13" s="434"/>
      <c r="K13" s="434"/>
      <c r="L13" s="434"/>
      <c r="M13" s="434"/>
      <c r="N13" s="434"/>
      <c r="O13" s="434"/>
      <c r="P13" s="434"/>
      <c r="Q13" s="434"/>
      <c r="R13" s="434"/>
      <c r="S13" s="434"/>
      <c r="T13" s="434"/>
    </row>
    <row r="14" spans="1:20" s="78" customFormat="1" ht="15.75" customHeight="1" x14ac:dyDescent="0.2">
      <c r="A14" s="443"/>
      <c r="B14" s="443"/>
      <c r="C14" s="443"/>
      <c r="D14" s="443"/>
      <c r="E14" s="443"/>
      <c r="F14" s="443"/>
      <c r="G14" s="443"/>
      <c r="H14" s="443"/>
      <c r="I14" s="443"/>
      <c r="J14" s="443"/>
      <c r="K14" s="443"/>
      <c r="L14" s="443"/>
      <c r="M14" s="443"/>
      <c r="N14" s="443"/>
      <c r="O14" s="443"/>
      <c r="P14" s="443"/>
      <c r="Q14" s="443"/>
      <c r="R14" s="443"/>
      <c r="S14" s="443"/>
      <c r="T14" s="443"/>
    </row>
    <row r="15" spans="1:20" s="79" customFormat="1" ht="42.75" customHeight="1" x14ac:dyDescent="0.2">
      <c r="A15" s="439" t="str">
        <f>'2. паспорт  ТП'!A14</f>
        <v>Строительство ТП 15/0,4 кВ, 2-х ЛЭП 15 кВ от ЗРУ 15 кВ ПС 110 кВ О-10, ЛЭП 0,4 кВ, организация системы учета электроэнергии в г. Зеленоградске, п. Вишневое</v>
      </c>
      <c r="B15" s="439"/>
      <c r="C15" s="439"/>
      <c r="D15" s="439"/>
      <c r="E15" s="439"/>
      <c r="F15" s="439"/>
      <c r="G15" s="439"/>
      <c r="H15" s="439"/>
      <c r="I15" s="439"/>
      <c r="J15" s="439"/>
      <c r="K15" s="439"/>
      <c r="L15" s="439"/>
      <c r="M15" s="439"/>
      <c r="N15" s="439"/>
      <c r="O15" s="439"/>
      <c r="P15" s="439"/>
      <c r="Q15" s="439"/>
      <c r="R15" s="439"/>
      <c r="S15" s="439"/>
      <c r="T15" s="439"/>
    </row>
    <row r="16" spans="1:20" s="79" customFormat="1" ht="15" customHeight="1" x14ac:dyDescent="0.2">
      <c r="A16" s="434" t="s">
        <v>4</v>
      </c>
      <c r="B16" s="434"/>
      <c r="C16" s="434"/>
      <c r="D16" s="434"/>
      <c r="E16" s="434"/>
      <c r="F16" s="434"/>
      <c r="G16" s="434"/>
      <c r="H16" s="434"/>
      <c r="I16" s="434"/>
      <c r="J16" s="434"/>
      <c r="K16" s="434"/>
      <c r="L16" s="434"/>
      <c r="M16" s="434"/>
      <c r="N16" s="434"/>
      <c r="O16" s="434"/>
      <c r="P16" s="434"/>
      <c r="Q16" s="434"/>
      <c r="R16" s="434"/>
      <c r="S16" s="434"/>
      <c r="T16" s="434"/>
    </row>
    <row r="17" spans="1:113" s="79" customFormat="1" ht="15" customHeight="1" x14ac:dyDescent="0.2">
      <c r="A17" s="440"/>
      <c r="B17" s="440"/>
      <c r="C17" s="440"/>
      <c r="D17" s="440"/>
      <c r="E17" s="440"/>
      <c r="F17" s="440"/>
      <c r="G17" s="440"/>
      <c r="H17" s="440"/>
      <c r="I17" s="440"/>
      <c r="J17" s="440"/>
      <c r="K17" s="440"/>
      <c r="L17" s="440"/>
      <c r="M17" s="440"/>
      <c r="N17" s="440"/>
      <c r="O17" s="440"/>
      <c r="P17" s="440"/>
      <c r="Q17" s="440"/>
      <c r="R17" s="440"/>
      <c r="S17" s="440"/>
      <c r="T17" s="440"/>
    </row>
    <row r="18" spans="1:113" s="79" customFormat="1" ht="15" customHeight="1" x14ac:dyDescent="0.2">
      <c r="A18" s="436" t="s">
        <v>353</v>
      </c>
      <c r="B18" s="436"/>
      <c r="C18" s="436"/>
      <c r="D18" s="436"/>
      <c r="E18" s="436"/>
      <c r="F18" s="436"/>
      <c r="G18" s="436"/>
      <c r="H18" s="436"/>
      <c r="I18" s="436"/>
      <c r="J18" s="436"/>
      <c r="K18" s="436"/>
      <c r="L18" s="436"/>
      <c r="M18" s="436"/>
      <c r="N18" s="436"/>
      <c r="O18" s="436"/>
      <c r="P18" s="436"/>
      <c r="Q18" s="436"/>
      <c r="R18" s="436"/>
      <c r="S18" s="436"/>
      <c r="T18" s="436"/>
    </row>
    <row r="19" spans="1:113" s="13" customFormat="1" ht="21" customHeight="1" x14ac:dyDescent="0.25">
      <c r="A19" s="452"/>
      <c r="B19" s="452"/>
      <c r="C19" s="452"/>
      <c r="D19" s="452"/>
      <c r="E19" s="452"/>
      <c r="F19" s="452"/>
      <c r="G19" s="452"/>
      <c r="H19" s="452"/>
      <c r="I19" s="452"/>
      <c r="J19" s="452"/>
      <c r="K19" s="452"/>
      <c r="L19" s="452"/>
      <c r="M19" s="452"/>
      <c r="N19" s="452"/>
      <c r="O19" s="452"/>
      <c r="P19" s="452"/>
      <c r="Q19" s="452"/>
      <c r="R19" s="452"/>
      <c r="S19" s="452"/>
      <c r="T19" s="452"/>
    </row>
    <row r="20" spans="1:113" ht="46.5" customHeight="1" x14ac:dyDescent="0.25">
      <c r="A20" s="461" t="s">
        <v>3</v>
      </c>
      <c r="B20" s="454" t="s">
        <v>194</v>
      </c>
      <c r="C20" s="455"/>
      <c r="D20" s="458" t="s">
        <v>116</v>
      </c>
      <c r="E20" s="454" t="s">
        <v>380</v>
      </c>
      <c r="F20" s="455"/>
      <c r="G20" s="454" t="s">
        <v>212</v>
      </c>
      <c r="H20" s="455"/>
      <c r="I20" s="454" t="s">
        <v>115</v>
      </c>
      <c r="J20" s="455"/>
      <c r="K20" s="458" t="s">
        <v>114</v>
      </c>
      <c r="L20" s="454" t="s">
        <v>113</v>
      </c>
      <c r="M20" s="455"/>
      <c r="N20" s="454" t="s">
        <v>450</v>
      </c>
      <c r="O20" s="455"/>
      <c r="P20" s="458" t="s">
        <v>112</v>
      </c>
      <c r="Q20" s="449" t="s">
        <v>111</v>
      </c>
      <c r="R20" s="450"/>
      <c r="S20" s="449" t="s">
        <v>110</v>
      </c>
      <c r="T20" s="451"/>
    </row>
    <row r="21" spans="1:113" ht="204.75" customHeight="1" x14ac:dyDescent="0.25">
      <c r="A21" s="462"/>
      <c r="B21" s="456"/>
      <c r="C21" s="457"/>
      <c r="D21" s="460"/>
      <c r="E21" s="456"/>
      <c r="F21" s="457"/>
      <c r="G21" s="456"/>
      <c r="H21" s="457"/>
      <c r="I21" s="456"/>
      <c r="J21" s="457"/>
      <c r="K21" s="459"/>
      <c r="L21" s="456"/>
      <c r="M21" s="457"/>
      <c r="N21" s="456"/>
      <c r="O21" s="457"/>
      <c r="P21" s="459"/>
      <c r="Q21" s="26" t="s">
        <v>109</v>
      </c>
      <c r="R21" s="26" t="s">
        <v>352</v>
      </c>
      <c r="S21" s="26" t="s">
        <v>108</v>
      </c>
      <c r="T21" s="26" t="s">
        <v>107</v>
      </c>
    </row>
    <row r="22" spans="1:113" ht="51.75" customHeight="1" x14ac:dyDescent="0.25">
      <c r="A22" s="463"/>
      <c r="B22" s="47" t="s">
        <v>105</v>
      </c>
      <c r="C22" s="47" t="s">
        <v>106</v>
      </c>
      <c r="D22" s="459"/>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54">
        <v>8</v>
      </c>
      <c r="I23" s="14">
        <v>9</v>
      </c>
      <c r="J23" s="14">
        <v>10</v>
      </c>
      <c r="K23" s="14">
        <v>11</v>
      </c>
      <c r="L23" s="14">
        <v>12</v>
      </c>
      <c r="M23" s="14">
        <v>13</v>
      </c>
      <c r="N23" s="14">
        <v>14</v>
      </c>
      <c r="O23" s="14">
        <v>15</v>
      </c>
      <c r="P23" s="14">
        <v>16</v>
      </c>
      <c r="Q23" s="14">
        <v>17</v>
      </c>
      <c r="R23" s="14">
        <v>18</v>
      </c>
      <c r="S23" s="14">
        <v>19</v>
      </c>
      <c r="T23" s="14">
        <v>20</v>
      </c>
    </row>
    <row r="24" spans="1:113" s="13" customFormat="1" ht="47.25" x14ac:dyDescent="0.25">
      <c r="A24" s="565">
        <v>1</v>
      </c>
      <c r="B24" s="565" t="s">
        <v>265</v>
      </c>
      <c r="C24" s="565" t="s">
        <v>600</v>
      </c>
      <c r="D24" s="565" t="s">
        <v>101</v>
      </c>
      <c r="E24" s="566" t="s">
        <v>265</v>
      </c>
      <c r="F24" s="565" t="s">
        <v>601</v>
      </c>
      <c r="G24" s="566" t="s">
        <v>265</v>
      </c>
      <c r="H24" s="565" t="s">
        <v>602</v>
      </c>
      <c r="I24" s="566" t="s">
        <v>265</v>
      </c>
      <c r="J24" s="566">
        <v>2025</v>
      </c>
      <c r="K24" s="566" t="s">
        <v>265</v>
      </c>
      <c r="L24" s="566" t="s">
        <v>265</v>
      </c>
      <c r="M24" s="566">
        <v>15</v>
      </c>
      <c r="N24" s="566" t="s">
        <v>265</v>
      </c>
      <c r="O24" s="566">
        <v>2</v>
      </c>
      <c r="P24" s="566" t="s">
        <v>265</v>
      </c>
      <c r="Q24" s="566" t="s">
        <v>265</v>
      </c>
      <c r="R24" s="566" t="s">
        <v>265</v>
      </c>
      <c r="S24" s="566" t="s">
        <v>265</v>
      </c>
      <c r="T24" s="566" t="s">
        <v>265</v>
      </c>
    </row>
    <row r="25" spans="1:113" s="13" customFormat="1" ht="78.75" x14ac:dyDescent="0.25">
      <c r="A25" s="565">
        <v>2</v>
      </c>
      <c r="B25" s="565" t="s">
        <v>650</v>
      </c>
      <c r="C25" s="565" t="s">
        <v>650</v>
      </c>
      <c r="D25" s="565" t="s">
        <v>651</v>
      </c>
      <c r="E25" s="566" t="s">
        <v>265</v>
      </c>
      <c r="F25" s="565" t="s">
        <v>652</v>
      </c>
      <c r="G25" s="566" t="s">
        <v>265</v>
      </c>
      <c r="H25" s="565" t="s">
        <v>653</v>
      </c>
      <c r="I25" s="566" t="s">
        <v>265</v>
      </c>
      <c r="J25" s="566">
        <v>2025</v>
      </c>
      <c r="K25" s="566" t="s">
        <v>265</v>
      </c>
      <c r="L25" s="566" t="s">
        <v>265</v>
      </c>
      <c r="M25" s="566">
        <v>15</v>
      </c>
      <c r="N25" s="566" t="s">
        <v>265</v>
      </c>
      <c r="O25" s="566" t="s">
        <v>265</v>
      </c>
      <c r="P25" s="566" t="s">
        <v>265</v>
      </c>
      <c r="Q25" s="566" t="s">
        <v>265</v>
      </c>
      <c r="R25" s="566" t="s">
        <v>265</v>
      </c>
      <c r="S25" s="566" t="s">
        <v>265</v>
      </c>
      <c r="T25" s="566" t="s">
        <v>265</v>
      </c>
    </row>
    <row r="26" spans="1:113" s="13" customFormat="1" x14ac:dyDescent="0.25">
      <c r="A26" s="563"/>
      <c r="B26" s="563"/>
      <c r="C26" s="563"/>
      <c r="D26" s="563"/>
      <c r="E26" s="564"/>
      <c r="F26" s="563"/>
      <c r="G26" s="564"/>
      <c r="H26" s="563"/>
      <c r="I26" s="564"/>
      <c r="J26" s="564"/>
      <c r="K26" s="564"/>
      <c r="L26" s="564"/>
      <c r="M26" s="564"/>
      <c r="N26" s="564"/>
      <c r="O26" s="10">
        <f>SUM(O24:O25)</f>
        <v>2</v>
      </c>
      <c r="P26" s="564"/>
      <c r="Q26" s="564"/>
      <c r="R26" s="564"/>
      <c r="S26" s="564"/>
      <c r="T26" s="564"/>
    </row>
    <row r="27" spans="1:113" s="12" customFormat="1" x14ac:dyDescent="0.25">
      <c r="B27" s="10" t="s">
        <v>104</v>
      </c>
      <c r="C27" s="10"/>
      <c r="D27" s="10"/>
      <c r="E27" s="10"/>
      <c r="F27" s="10"/>
      <c r="G27" s="10"/>
      <c r="H27" s="155"/>
      <c r="I27" s="10"/>
      <c r="J27" s="10"/>
      <c r="K27" s="10"/>
      <c r="L27" s="10"/>
      <c r="M27" s="10"/>
      <c r="N27" s="10"/>
      <c r="O27" s="10">
        <f>SUM(O24:O24)</f>
        <v>2</v>
      </c>
      <c r="P27" s="10"/>
      <c r="Q27" s="10"/>
      <c r="R27" s="10"/>
    </row>
    <row r="28" spans="1:113" x14ac:dyDescent="0.25">
      <c r="B28" s="453" t="s">
        <v>386</v>
      </c>
      <c r="C28" s="453"/>
      <c r="D28" s="453"/>
      <c r="E28" s="453"/>
      <c r="F28" s="453"/>
      <c r="G28" s="453"/>
      <c r="H28" s="453"/>
      <c r="I28" s="453"/>
      <c r="J28" s="453"/>
      <c r="K28" s="453"/>
      <c r="L28" s="453"/>
      <c r="M28" s="453"/>
      <c r="N28" s="453"/>
      <c r="O28" s="453"/>
      <c r="P28" s="453"/>
      <c r="Q28" s="453"/>
      <c r="R28" s="453"/>
    </row>
    <row r="29" spans="1:113" x14ac:dyDescent="0.25">
      <c r="B29" s="10"/>
      <c r="C29" s="10"/>
      <c r="D29" s="10"/>
      <c r="E29" s="10"/>
      <c r="F29" s="10"/>
      <c r="G29" s="10"/>
      <c r="H29" s="155"/>
      <c r="I29" s="10"/>
      <c r="J29" s="10"/>
      <c r="K29" s="10"/>
      <c r="L29" s="10"/>
      <c r="M29" s="10"/>
      <c r="N29" s="10"/>
      <c r="O29" s="10"/>
      <c r="P29" s="10"/>
      <c r="Q29" s="10"/>
      <c r="R29" s="10"/>
      <c r="S29" s="10"/>
      <c r="T29" s="10"/>
      <c r="U29" s="10"/>
      <c r="V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x14ac:dyDescent="0.25">
      <c r="B30" s="9" t="s">
        <v>351</v>
      </c>
      <c r="C30" s="9"/>
      <c r="D30" s="9"/>
      <c r="E30" s="9"/>
      <c r="F30" s="7"/>
      <c r="G30" s="7"/>
      <c r="H30" s="156"/>
      <c r="I30" s="9"/>
      <c r="J30" s="9"/>
      <c r="K30" s="9"/>
      <c r="L30" s="9"/>
      <c r="M30" s="9"/>
      <c r="N30" s="9"/>
      <c r="O30" s="9"/>
      <c r="P30" s="9"/>
      <c r="Q30" s="9"/>
      <c r="R30" s="9"/>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9" t="s">
        <v>103</v>
      </c>
      <c r="C31" s="9"/>
      <c r="D31" s="9"/>
      <c r="E31" s="9"/>
      <c r="F31" s="7"/>
      <c r="G31" s="7"/>
      <c r="H31" s="156"/>
      <c r="I31" s="9"/>
      <c r="J31" s="9"/>
      <c r="K31" s="9"/>
      <c r="L31" s="9"/>
      <c r="M31" s="9"/>
      <c r="N31" s="9"/>
      <c r="O31" s="9"/>
      <c r="P31" s="9"/>
      <c r="Q31" s="9"/>
      <c r="R31" s="9"/>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row>
    <row r="32" spans="1:113" s="7" customFormat="1" x14ac:dyDescent="0.25">
      <c r="B32" s="9" t="s">
        <v>102</v>
      </c>
      <c r="C32" s="9"/>
      <c r="D32" s="9"/>
      <c r="E32" s="9"/>
      <c r="H32" s="156"/>
      <c r="I32" s="9"/>
      <c r="J32" s="9"/>
      <c r="K32" s="9"/>
      <c r="L32" s="9"/>
      <c r="M32" s="9"/>
      <c r="N32" s="9"/>
      <c r="O32" s="9"/>
      <c r="P32" s="9"/>
      <c r="Q32" s="9"/>
      <c r="R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101</v>
      </c>
      <c r="C33" s="9"/>
      <c r="D33" s="9"/>
      <c r="E33" s="9"/>
      <c r="H33" s="156"/>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100</v>
      </c>
      <c r="C34" s="9"/>
      <c r="D34" s="9"/>
      <c r="E34" s="9"/>
      <c r="H34" s="156"/>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99</v>
      </c>
      <c r="C35" s="9"/>
      <c r="D35" s="9"/>
      <c r="E35" s="9"/>
      <c r="H35" s="156"/>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98</v>
      </c>
      <c r="C36" s="9"/>
      <c r="D36" s="9"/>
      <c r="E36" s="9"/>
      <c r="H36" s="156"/>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97</v>
      </c>
      <c r="C37" s="9"/>
      <c r="D37" s="9"/>
      <c r="E37" s="9"/>
      <c r="H37" s="156"/>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B38" s="9" t="s">
        <v>96</v>
      </c>
      <c r="C38" s="9"/>
      <c r="D38" s="9"/>
      <c r="E38" s="9"/>
      <c r="H38" s="156"/>
      <c r="I38" s="9"/>
      <c r="J38" s="9"/>
      <c r="K38" s="9"/>
      <c r="L38" s="9"/>
      <c r="M38" s="9"/>
      <c r="N38" s="9"/>
      <c r="O38" s="9"/>
      <c r="P38" s="9"/>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B39" s="9" t="s">
        <v>95</v>
      </c>
      <c r="C39" s="9"/>
      <c r="D39" s="9"/>
      <c r="E39" s="9"/>
      <c r="H39" s="156"/>
      <c r="I39" s="9"/>
      <c r="J39" s="9"/>
      <c r="K39" s="9"/>
      <c r="L39" s="9"/>
      <c r="M39" s="9"/>
      <c r="N39" s="9"/>
      <c r="O39" s="9"/>
      <c r="P39" s="9"/>
      <c r="Q39" s="9"/>
      <c r="R39" s="9"/>
      <c r="S39" s="9"/>
      <c r="T39" s="9"/>
      <c r="U39" s="9"/>
      <c r="V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row r="40" spans="2:113" s="7" customFormat="1" x14ac:dyDescent="0.25">
      <c r="H40" s="157"/>
      <c r="Q40" s="9"/>
      <c r="R40" s="9"/>
      <c r="S40" s="9"/>
      <c r="T40" s="9"/>
      <c r="U40" s="9"/>
      <c r="V40" s="9"/>
      <c r="AN40" s="9"/>
      <c r="AO40" s="9"/>
      <c r="AP40" s="9"/>
      <c r="AQ40" s="9"/>
      <c r="AR40" s="9"/>
      <c r="AS40" s="9"/>
      <c r="AT40" s="9"/>
      <c r="AU40" s="9"/>
      <c r="AV40" s="9"/>
      <c r="AW40" s="9"/>
      <c r="AX40" s="9"/>
      <c r="AY40" s="9"/>
      <c r="AZ40" s="9"/>
      <c r="BA40" s="9"/>
      <c r="BB40" s="9"/>
      <c r="BC40" s="9"/>
      <c r="BD40" s="9"/>
      <c r="BE40" s="9"/>
      <c r="BF40" s="9"/>
      <c r="BG40" s="9"/>
      <c r="BH40" s="9"/>
      <c r="BI40" s="9"/>
      <c r="BJ40" s="9"/>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row>
    <row r="41" spans="2:113" s="7" customFormat="1" x14ac:dyDescent="0.25">
      <c r="H41" s="157"/>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row>
  </sheetData>
  <mergeCells count="27">
    <mergeCell ref="A20:A22"/>
    <mergeCell ref="E20:F21"/>
    <mergeCell ref="G20:H21"/>
    <mergeCell ref="I20:J21"/>
    <mergeCell ref="K20:K21"/>
    <mergeCell ref="B28:R28"/>
    <mergeCell ref="L20:M21"/>
    <mergeCell ref="N20:O21"/>
    <mergeCell ref="P20:P21"/>
    <mergeCell ref="D20:D22"/>
    <mergeCell ref="B20:C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B34"/>
  <sheetViews>
    <sheetView view="pageBreakPreview" topLeftCell="A17" zoomScale="70" zoomScaleSheetLayoutView="70" workbookViewId="0">
      <selection activeCell="E29" sqref="E29"/>
    </sheetView>
  </sheetViews>
  <sheetFormatPr defaultColWidth="10.7109375" defaultRowHeight="15.75" x14ac:dyDescent="0.25"/>
  <cols>
    <col min="1" max="1" width="10.7109375" style="6"/>
    <col min="2" max="5" width="29.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30" t="str">
        <f>'3.1. паспорт Техсостояние ПС'!A5</f>
        <v>Год раскрытия информации: 2025 год</v>
      </c>
      <c r="B5" s="430"/>
      <c r="C5" s="430"/>
      <c r="D5" s="430"/>
      <c r="E5" s="430"/>
      <c r="F5" s="430"/>
      <c r="G5" s="430"/>
      <c r="H5" s="430"/>
      <c r="I5" s="430"/>
      <c r="J5" s="430"/>
      <c r="K5" s="430"/>
      <c r="L5" s="430"/>
      <c r="M5" s="430"/>
      <c r="N5" s="430"/>
      <c r="O5" s="430"/>
      <c r="P5" s="430"/>
      <c r="Q5" s="430"/>
      <c r="R5" s="430"/>
      <c r="S5" s="430"/>
      <c r="T5" s="430"/>
      <c r="U5" s="430"/>
      <c r="V5" s="430"/>
      <c r="W5" s="430"/>
      <c r="X5" s="430"/>
      <c r="Y5" s="430"/>
      <c r="Z5" s="430"/>
      <c r="AA5" s="430"/>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37" t="s">
        <v>7</v>
      </c>
      <c r="F7" s="437"/>
      <c r="G7" s="437"/>
      <c r="H7" s="437"/>
      <c r="I7" s="437"/>
      <c r="J7" s="437"/>
      <c r="K7" s="437"/>
      <c r="L7" s="437"/>
      <c r="M7" s="437"/>
      <c r="N7" s="437"/>
      <c r="O7" s="437"/>
      <c r="P7" s="437"/>
      <c r="Q7" s="437"/>
      <c r="R7" s="437"/>
      <c r="S7" s="437"/>
      <c r="T7" s="437"/>
      <c r="U7" s="437"/>
      <c r="V7" s="437"/>
      <c r="W7" s="437"/>
      <c r="X7" s="437"/>
      <c r="Y7" s="437"/>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42" t="str">
        <f>'3.1. паспорт Техсостояние ПС'!A9</f>
        <v>Акционерное общество "Россети Янтарь" ДЗО  ПАО "Россети"</v>
      </c>
      <c r="F9" s="442"/>
      <c r="G9" s="442"/>
      <c r="H9" s="442"/>
      <c r="I9" s="442"/>
      <c r="J9" s="442"/>
      <c r="K9" s="442"/>
      <c r="L9" s="442"/>
      <c r="M9" s="442"/>
      <c r="N9" s="442"/>
      <c r="O9" s="442"/>
      <c r="P9" s="442"/>
      <c r="Q9" s="442"/>
      <c r="R9" s="442"/>
      <c r="S9" s="442"/>
      <c r="T9" s="442"/>
      <c r="U9" s="442"/>
      <c r="V9" s="442"/>
      <c r="W9" s="442"/>
      <c r="X9" s="442"/>
      <c r="Y9" s="442"/>
    </row>
    <row r="10" spans="1:27" s="2" customFormat="1" ht="18.75" customHeight="1" x14ac:dyDescent="0.2">
      <c r="E10" s="434" t="s">
        <v>6</v>
      </c>
      <c r="F10" s="434"/>
      <c r="G10" s="434"/>
      <c r="H10" s="434"/>
      <c r="I10" s="434"/>
      <c r="J10" s="434"/>
      <c r="K10" s="434"/>
      <c r="L10" s="434"/>
      <c r="M10" s="434"/>
      <c r="N10" s="434"/>
      <c r="O10" s="434"/>
      <c r="P10" s="434"/>
      <c r="Q10" s="434"/>
      <c r="R10" s="434"/>
      <c r="S10" s="434"/>
      <c r="T10" s="434"/>
      <c r="U10" s="434"/>
      <c r="V10" s="434"/>
      <c r="W10" s="434"/>
      <c r="X10" s="434"/>
      <c r="Y10" s="434"/>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42" t="str">
        <f>'1. паспорт местоположение'!A12</f>
        <v>N_21-0947</v>
      </c>
      <c r="F12" s="442"/>
      <c r="G12" s="442"/>
      <c r="H12" s="442"/>
      <c r="I12" s="442"/>
      <c r="J12" s="442"/>
      <c r="K12" s="442"/>
      <c r="L12" s="442"/>
      <c r="M12" s="442"/>
      <c r="N12" s="442"/>
      <c r="O12" s="442"/>
      <c r="P12" s="442"/>
      <c r="Q12" s="442"/>
      <c r="R12" s="442"/>
      <c r="S12" s="442"/>
      <c r="T12" s="442"/>
      <c r="U12" s="442"/>
      <c r="V12" s="442"/>
      <c r="W12" s="442"/>
      <c r="X12" s="442"/>
      <c r="Y12" s="442"/>
    </row>
    <row r="13" spans="1:27" s="2" customFormat="1" ht="18.75" customHeight="1" x14ac:dyDescent="0.2">
      <c r="E13" s="434" t="s">
        <v>5</v>
      </c>
      <c r="F13" s="434"/>
      <c r="G13" s="434"/>
      <c r="H13" s="434"/>
      <c r="I13" s="434"/>
      <c r="J13" s="434"/>
      <c r="K13" s="434"/>
      <c r="L13" s="434"/>
      <c r="M13" s="434"/>
      <c r="N13" s="434"/>
      <c r="O13" s="434"/>
      <c r="P13" s="434"/>
      <c r="Q13" s="434"/>
      <c r="R13" s="434"/>
      <c r="S13" s="434"/>
      <c r="T13" s="434"/>
      <c r="U13" s="434"/>
      <c r="V13" s="434"/>
      <c r="W13" s="434"/>
      <c r="X13" s="434"/>
      <c r="Y13" s="434"/>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39" t="str">
        <f>'3.1. паспорт Техсостояние ПС'!A15</f>
        <v>Строительство ТП 15/0,4 кВ, 2-х ЛЭП 15 кВ от ЗРУ 15 кВ ПС 110 кВ О-10, ЛЭП 0,4 кВ, организация системы учета электроэнергии в г. Зеленоградске, п. Вишневое</v>
      </c>
      <c r="F15" s="439"/>
      <c r="G15" s="439"/>
      <c r="H15" s="439"/>
      <c r="I15" s="439"/>
      <c r="J15" s="439"/>
      <c r="K15" s="439"/>
      <c r="L15" s="439"/>
      <c r="M15" s="439"/>
      <c r="N15" s="439"/>
      <c r="O15" s="439"/>
      <c r="P15" s="439"/>
      <c r="Q15" s="439"/>
      <c r="R15" s="439"/>
      <c r="S15" s="439"/>
      <c r="T15" s="439"/>
      <c r="U15" s="439"/>
      <c r="V15" s="439"/>
      <c r="W15" s="439"/>
      <c r="X15" s="439"/>
      <c r="Y15" s="439"/>
    </row>
    <row r="16" spans="1:27" s="79" customFormat="1" ht="15" customHeight="1" x14ac:dyDescent="0.2">
      <c r="E16" s="434" t="s">
        <v>4</v>
      </c>
      <c r="F16" s="434"/>
      <c r="G16" s="434"/>
      <c r="H16" s="434"/>
      <c r="I16" s="434"/>
      <c r="J16" s="434"/>
      <c r="K16" s="434"/>
      <c r="L16" s="434"/>
      <c r="M16" s="434"/>
      <c r="N16" s="434"/>
      <c r="O16" s="434"/>
      <c r="P16" s="434"/>
      <c r="Q16" s="434"/>
      <c r="R16" s="434"/>
      <c r="S16" s="434"/>
      <c r="T16" s="434"/>
      <c r="U16" s="434"/>
      <c r="V16" s="434"/>
      <c r="W16" s="434"/>
      <c r="X16" s="434"/>
      <c r="Y16" s="434"/>
    </row>
    <row r="17" spans="1:28"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8" s="79" customFormat="1" ht="15" customHeight="1" x14ac:dyDescent="0.2">
      <c r="E18" s="436"/>
      <c r="F18" s="436"/>
      <c r="G18" s="436"/>
      <c r="H18" s="436"/>
      <c r="I18" s="436"/>
      <c r="J18" s="436"/>
      <c r="K18" s="436"/>
      <c r="L18" s="436"/>
      <c r="M18" s="436"/>
      <c r="N18" s="436"/>
      <c r="O18" s="436"/>
      <c r="P18" s="436"/>
      <c r="Q18" s="436"/>
      <c r="R18" s="436"/>
      <c r="S18" s="436"/>
      <c r="T18" s="436"/>
      <c r="U18" s="436"/>
      <c r="V18" s="436"/>
      <c r="W18" s="436"/>
      <c r="X18" s="436"/>
      <c r="Y18" s="436"/>
    </row>
    <row r="19" spans="1:28" ht="25.5" customHeight="1" x14ac:dyDescent="0.25">
      <c r="A19" s="436" t="s">
        <v>355</v>
      </c>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row>
    <row r="20" spans="1:28" s="13" customFormat="1" ht="21" customHeight="1" x14ac:dyDescent="0.25"/>
    <row r="21" spans="1:28" ht="15.75" customHeight="1" x14ac:dyDescent="0.25">
      <c r="A21" s="464" t="s">
        <v>3</v>
      </c>
      <c r="B21" s="464" t="s">
        <v>362</v>
      </c>
      <c r="C21" s="464"/>
      <c r="D21" s="464" t="s">
        <v>364</v>
      </c>
      <c r="E21" s="464"/>
      <c r="F21" s="464" t="s">
        <v>88</v>
      </c>
      <c r="G21" s="464"/>
      <c r="H21" s="464"/>
      <c r="I21" s="464"/>
      <c r="J21" s="464" t="s">
        <v>365</v>
      </c>
      <c r="K21" s="464" t="s">
        <v>366</v>
      </c>
      <c r="L21" s="464"/>
      <c r="M21" s="464" t="s">
        <v>367</v>
      </c>
      <c r="N21" s="464"/>
      <c r="O21" s="464" t="s">
        <v>354</v>
      </c>
      <c r="P21" s="464"/>
      <c r="Q21" s="464" t="s">
        <v>121</v>
      </c>
      <c r="R21" s="464"/>
      <c r="S21" s="464" t="s">
        <v>120</v>
      </c>
      <c r="T21" s="464" t="s">
        <v>368</v>
      </c>
      <c r="U21" s="464" t="s">
        <v>363</v>
      </c>
      <c r="V21" s="464" t="s">
        <v>119</v>
      </c>
      <c r="W21" s="464"/>
      <c r="X21" s="464" t="s">
        <v>111</v>
      </c>
      <c r="Y21" s="464"/>
      <c r="Z21" s="464" t="s">
        <v>110</v>
      </c>
      <c r="AA21" s="464"/>
    </row>
    <row r="22" spans="1:28" ht="216" customHeight="1" x14ac:dyDescent="0.25">
      <c r="A22" s="464"/>
      <c r="B22" s="464"/>
      <c r="C22" s="464"/>
      <c r="D22" s="464"/>
      <c r="E22" s="464"/>
      <c r="F22" s="464" t="s">
        <v>118</v>
      </c>
      <c r="G22" s="464"/>
      <c r="H22" s="464" t="s">
        <v>117</v>
      </c>
      <c r="I22" s="464"/>
      <c r="J22" s="464"/>
      <c r="K22" s="464"/>
      <c r="L22" s="464"/>
      <c r="M22" s="464"/>
      <c r="N22" s="464"/>
      <c r="O22" s="464"/>
      <c r="P22" s="464"/>
      <c r="Q22" s="464"/>
      <c r="R22" s="464"/>
      <c r="S22" s="464"/>
      <c r="T22" s="464"/>
      <c r="U22" s="464"/>
      <c r="V22" s="464"/>
      <c r="W22" s="464"/>
      <c r="X22" s="225" t="s">
        <v>109</v>
      </c>
      <c r="Y22" s="225" t="s">
        <v>352</v>
      </c>
      <c r="Z22" s="225" t="s">
        <v>108</v>
      </c>
      <c r="AA22" s="225" t="s">
        <v>107</v>
      </c>
    </row>
    <row r="23" spans="1:28" ht="60" customHeight="1" x14ac:dyDescent="0.25">
      <c r="A23" s="464"/>
      <c r="B23" s="225" t="s">
        <v>105</v>
      </c>
      <c r="C23" s="225" t="s">
        <v>106</v>
      </c>
      <c r="D23" s="225" t="s">
        <v>105</v>
      </c>
      <c r="E23" s="225" t="s">
        <v>106</v>
      </c>
      <c r="F23" s="225" t="s">
        <v>105</v>
      </c>
      <c r="G23" s="225" t="s">
        <v>106</v>
      </c>
      <c r="H23" s="225" t="s">
        <v>105</v>
      </c>
      <c r="I23" s="225" t="s">
        <v>106</v>
      </c>
      <c r="J23" s="225" t="s">
        <v>105</v>
      </c>
      <c r="K23" s="225" t="s">
        <v>105</v>
      </c>
      <c r="L23" s="225" t="s">
        <v>106</v>
      </c>
      <c r="M23" s="225" t="s">
        <v>105</v>
      </c>
      <c r="N23" s="225" t="s">
        <v>106</v>
      </c>
      <c r="O23" s="225" t="s">
        <v>105</v>
      </c>
      <c r="P23" s="225" t="s">
        <v>106</v>
      </c>
      <c r="Q23" s="225" t="s">
        <v>105</v>
      </c>
      <c r="R23" s="225" t="s">
        <v>106</v>
      </c>
      <c r="S23" s="225" t="s">
        <v>105</v>
      </c>
      <c r="T23" s="225" t="s">
        <v>105</v>
      </c>
      <c r="U23" s="225" t="s">
        <v>105</v>
      </c>
      <c r="V23" s="225" t="s">
        <v>105</v>
      </c>
      <c r="W23" s="225" t="s">
        <v>106</v>
      </c>
      <c r="X23" s="225" t="s">
        <v>105</v>
      </c>
      <c r="Y23" s="225" t="s">
        <v>105</v>
      </c>
      <c r="Z23" s="225" t="s">
        <v>105</v>
      </c>
      <c r="AA23" s="225" t="s">
        <v>105</v>
      </c>
    </row>
    <row r="24" spans="1:28" x14ac:dyDescent="0.25">
      <c r="A24" s="226">
        <v>1</v>
      </c>
      <c r="B24" s="226">
        <v>2</v>
      </c>
      <c r="C24" s="226">
        <v>3</v>
      </c>
      <c r="D24" s="226">
        <v>4</v>
      </c>
      <c r="E24" s="226">
        <v>5</v>
      </c>
      <c r="F24" s="226">
        <v>6</v>
      </c>
      <c r="G24" s="226">
        <v>7</v>
      </c>
      <c r="H24" s="226">
        <v>8</v>
      </c>
      <c r="I24" s="226">
        <v>9</v>
      </c>
      <c r="J24" s="226">
        <v>10</v>
      </c>
      <c r="K24" s="226">
        <v>11</v>
      </c>
      <c r="L24" s="226">
        <v>12</v>
      </c>
      <c r="M24" s="226">
        <v>13</v>
      </c>
      <c r="N24" s="226">
        <v>14</v>
      </c>
      <c r="O24" s="226">
        <v>15</v>
      </c>
      <c r="P24" s="226">
        <v>16</v>
      </c>
      <c r="Q24" s="226">
        <v>19</v>
      </c>
      <c r="R24" s="226">
        <v>20</v>
      </c>
      <c r="S24" s="226">
        <v>21</v>
      </c>
      <c r="T24" s="226">
        <v>22</v>
      </c>
      <c r="U24" s="226">
        <v>23</v>
      </c>
      <c r="V24" s="226">
        <v>24</v>
      </c>
      <c r="W24" s="226">
        <v>25</v>
      </c>
      <c r="X24" s="226">
        <v>26</v>
      </c>
      <c r="Y24" s="226">
        <v>27</v>
      </c>
      <c r="Z24" s="226">
        <v>28</v>
      </c>
      <c r="AA24" s="226">
        <v>29</v>
      </c>
    </row>
    <row r="25" spans="1:28" s="158" customFormat="1" ht="63" x14ac:dyDescent="0.25">
      <c r="A25" s="567">
        <v>1</v>
      </c>
      <c r="B25" s="568" t="s">
        <v>265</v>
      </c>
      <c r="C25" s="569" t="s">
        <v>654</v>
      </c>
      <c r="D25" s="568" t="s">
        <v>265</v>
      </c>
      <c r="E25" s="570" t="str">
        <f>C25</f>
        <v>КЛ-15 кВ от I и II секции ЗРУ-15 кВ ПС 110 кВ О-10 Зеленоградск до I и II секции РУ-15кВ КТП нов.</v>
      </c>
      <c r="F25" s="568" t="s">
        <v>265</v>
      </c>
      <c r="G25" s="568">
        <v>15</v>
      </c>
      <c r="H25" s="568" t="s">
        <v>265</v>
      </c>
      <c r="I25" s="568">
        <v>15</v>
      </c>
      <c r="J25" s="568" t="s">
        <v>265</v>
      </c>
      <c r="K25" s="568" t="s">
        <v>265</v>
      </c>
      <c r="L25" s="568">
        <v>2</v>
      </c>
      <c r="M25" s="568" t="s">
        <v>265</v>
      </c>
      <c r="N25" s="568">
        <v>240</v>
      </c>
      <c r="O25" s="568" t="s">
        <v>265</v>
      </c>
      <c r="P25" s="568" t="s">
        <v>537</v>
      </c>
      <c r="Q25" s="568" t="s">
        <v>265</v>
      </c>
      <c r="R25" s="568">
        <v>1.2</v>
      </c>
      <c r="S25" s="570" t="s">
        <v>265</v>
      </c>
      <c r="T25" s="568" t="s">
        <v>265</v>
      </c>
      <c r="U25" s="568" t="s">
        <v>265</v>
      </c>
      <c r="V25" s="568" t="s">
        <v>265</v>
      </c>
      <c r="W25" s="568" t="s">
        <v>594</v>
      </c>
      <c r="X25" s="568" t="s">
        <v>265</v>
      </c>
      <c r="Y25" s="568" t="s">
        <v>265</v>
      </c>
      <c r="Z25" s="568" t="s">
        <v>265</v>
      </c>
      <c r="AA25" s="568" t="s">
        <v>265</v>
      </c>
      <c r="AB25" s="158" t="s">
        <v>655</v>
      </c>
    </row>
    <row r="26" spans="1:28" s="158" customFormat="1" ht="78.75" x14ac:dyDescent="0.25">
      <c r="A26" s="567">
        <v>2</v>
      </c>
      <c r="B26" s="568" t="s">
        <v>265</v>
      </c>
      <c r="C26" s="569" t="s">
        <v>656</v>
      </c>
      <c r="D26" s="568" t="s">
        <v>265</v>
      </c>
      <c r="E26" s="570" t="str">
        <f t="shared" ref="E26:E32" si="0">C26</f>
        <v>КЛ-0,4 кВ от I и II секции РУ 0,4 кВ КТП нов. до  I и II секции ВРУ(1), ВРУ(2), ВРУ(3), ВРУ(4) 0,4 кВ МКД (ТУ Z-6159/23)</v>
      </c>
      <c r="F26" s="568" t="s">
        <v>265</v>
      </c>
      <c r="G26" s="568">
        <v>0.4</v>
      </c>
      <c r="H26" s="568" t="s">
        <v>265</v>
      </c>
      <c r="I26" s="568">
        <v>0.4</v>
      </c>
      <c r="J26" s="568" t="s">
        <v>265</v>
      </c>
      <c r="K26" s="568" t="s">
        <v>265</v>
      </c>
      <c r="L26" s="568">
        <v>2</v>
      </c>
      <c r="M26" s="568" t="s">
        <v>265</v>
      </c>
      <c r="N26" s="568">
        <v>120</v>
      </c>
      <c r="O26" s="568" t="s">
        <v>265</v>
      </c>
      <c r="P26" s="568" t="s">
        <v>537</v>
      </c>
      <c r="Q26" s="568" t="s">
        <v>265</v>
      </c>
      <c r="R26" s="568">
        <v>1.36</v>
      </c>
      <c r="S26" s="570" t="s">
        <v>265</v>
      </c>
      <c r="T26" s="568" t="s">
        <v>265</v>
      </c>
      <c r="U26" s="568" t="s">
        <v>265</v>
      </c>
      <c r="V26" s="568" t="s">
        <v>265</v>
      </c>
      <c r="W26" s="568" t="s">
        <v>594</v>
      </c>
      <c r="X26" s="568" t="s">
        <v>265</v>
      </c>
      <c r="Y26" s="568" t="s">
        <v>265</v>
      </c>
      <c r="Z26" s="568" t="s">
        <v>265</v>
      </c>
      <c r="AA26" s="568" t="s">
        <v>265</v>
      </c>
      <c r="AB26" s="158" t="s">
        <v>655</v>
      </c>
    </row>
    <row r="27" spans="1:28" s="158" customFormat="1" ht="63" x14ac:dyDescent="0.25">
      <c r="A27" s="567">
        <v>3</v>
      </c>
      <c r="B27" s="568" t="s">
        <v>265</v>
      </c>
      <c r="C27" s="569" t="s">
        <v>657</v>
      </c>
      <c r="D27" s="568" t="s">
        <v>265</v>
      </c>
      <c r="E27" s="570" t="str">
        <f t="shared" si="0"/>
        <v>КЛ-0,4 кВ от I и II секции РУ 0,4 кВ КТП нов. до  I и II секции ВРУ(1) 0.4 кВ МКД 
№ 1 по ГП</v>
      </c>
      <c r="F27" s="568" t="s">
        <v>265</v>
      </c>
      <c r="G27" s="568">
        <v>0.4</v>
      </c>
      <c r="H27" s="568" t="s">
        <v>265</v>
      </c>
      <c r="I27" s="568">
        <v>0.4</v>
      </c>
      <c r="J27" s="568" t="s">
        <v>265</v>
      </c>
      <c r="K27" s="568" t="s">
        <v>265</v>
      </c>
      <c r="L27" s="568">
        <v>2</v>
      </c>
      <c r="M27" s="568" t="s">
        <v>265</v>
      </c>
      <c r="N27" s="568">
        <v>120</v>
      </c>
      <c r="O27" s="568" t="s">
        <v>265</v>
      </c>
      <c r="P27" s="568" t="s">
        <v>537</v>
      </c>
      <c r="Q27" s="568" t="s">
        <v>265</v>
      </c>
      <c r="R27" s="568">
        <v>0.55000000000000004</v>
      </c>
      <c r="S27" s="570" t="s">
        <v>265</v>
      </c>
      <c r="T27" s="568" t="s">
        <v>265</v>
      </c>
      <c r="U27" s="568" t="s">
        <v>265</v>
      </c>
      <c r="V27" s="568" t="s">
        <v>265</v>
      </c>
      <c r="W27" s="568" t="s">
        <v>594</v>
      </c>
      <c r="X27" s="568" t="s">
        <v>265</v>
      </c>
      <c r="Y27" s="568" t="s">
        <v>265</v>
      </c>
      <c r="Z27" s="568" t="s">
        <v>265</v>
      </c>
      <c r="AA27" s="568" t="s">
        <v>265</v>
      </c>
      <c r="AB27" s="158" t="s">
        <v>658</v>
      </c>
    </row>
    <row r="28" spans="1:28" s="158" customFormat="1" ht="63" x14ac:dyDescent="0.25">
      <c r="A28" s="567">
        <v>4</v>
      </c>
      <c r="B28" s="568" t="s">
        <v>265</v>
      </c>
      <c r="C28" s="569" t="s">
        <v>659</v>
      </c>
      <c r="D28" s="568" t="s">
        <v>265</v>
      </c>
      <c r="E28" s="570" t="str">
        <f t="shared" si="0"/>
        <v>КЛ-0,4 кВ от I и II секции РУ 0,4 кВ КТП нов. до  I и II секции ВРУ(2) 0.4 кВ МКД 
№ 2 по ГП</v>
      </c>
      <c r="F28" s="568" t="s">
        <v>265</v>
      </c>
      <c r="G28" s="568">
        <v>0.4</v>
      </c>
      <c r="H28" s="568" t="s">
        <v>265</v>
      </c>
      <c r="I28" s="568">
        <v>0.4</v>
      </c>
      <c r="J28" s="568" t="s">
        <v>265</v>
      </c>
      <c r="K28" s="568" t="s">
        <v>265</v>
      </c>
      <c r="L28" s="568">
        <v>2</v>
      </c>
      <c r="M28" s="568" t="s">
        <v>265</v>
      </c>
      <c r="N28" s="568">
        <v>120</v>
      </c>
      <c r="O28" s="568" t="s">
        <v>265</v>
      </c>
      <c r="P28" s="568" t="s">
        <v>537</v>
      </c>
      <c r="Q28" s="568" t="s">
        <v>265</v>
      </c>
      <c r="R28" s="568">
        <v>0.4</v>
      </c>
      <c r="S28" s="570" t="s">
        <v>265</v>
      </c>
      <c r="T28" s="568" t="s">
        <v>265</v>
      </c>
      <c r="U28" s="568" t="s">
        <v>265</v>
      </c>
      <c r="V28" s="568" t="s">
        <v>265</v>
      </c>
      <c r="W28" s="568" t="s">
        <v>594</v>
      </c>
      <c r="X28" s="568" t="s">
        <v>265</v>
      </c>
      <c r="Y28" s="568" t="s">
        <v>265</v>
      </c>
      <c r="Z28" s="568" t="s">
        <v>265</v>
      </c>
      <c r="AA28" s="568" t="s">
        <v>265</v>
      </c>
      <c r="AB28" s="158" t="s">
        <v>658</v>
      </c>
    </row>
    <row r="29" spans="1:28" s="158" customFormat="1" ht="47.25" x14ac:dyDescent="0.25">
      <c r="A29" s="567">
        <v>5</v>
      </c>
      <c r="B29" s="568" t="s">
        <v>265</v>
      </c>
      <c r="C29" s="569" t="s">
        <v>660</v>
      </c>
      <c r="D29" s="568" t="s">
        <v>265</v>
      </c>
      <c r="E29" s="570" t="str">
        <f t="shared" si="0"/>
        <v xml:space="preserve">КЛ-0,4 кВ от I и II секции РУ 0,4 кВ КТП нов. до  I и II секции СП-1 0,4 кВ нов. </v>
      </c>
      <c r="F29" s="568" t="s">
        <v>265</v>
      </c>
      <c r="G29" s="568">
        <v>0.4</v>
      </c>
      <c r="H29" s="568" t="s">
        <v>265</v>
      </c>
      <c r="I29" s="568">
        <v>0.4</v>
      </c>
      <c r="J29" s="568" t="s">
        <v>265</v>
      </c>
      <c r="K29" s="568" t="s">
        <v>265</v>
      </c>
      <c r="L29" s="568">
        <v>2</v>
      </c>
      <c r="M29" s="568" t="s">
        <v>265</v>
      </c>
      <c r="N29" s="568">
        <v>120</v>
      </c>
      <c r="O29" s="568" t="s">
        <v>265</v>
      </c>
      <c r="P29" s="568" t="s">
        <v>537</v>
      </c>
      <c r="Q29" s="568" t="s">
        <v>265</v>
      </c>
      <c r="R29" s="568">
        <v>0.02</v>
      </c>
      <c r="S29" s="570" t="s">
        <v>265</v>
      </c>
      <c r="T29" s="568" t="s">
        <v>265</v>
      </c>
      <c r="U29" s="568" t="s">
        <v>265</v>
      </c>
      <c r="V29" s="568" t="s">
        <v>265</v>
      </c>
      <c r="W29" s="568" t="s">
        <v>594</v>
      </c>
      <c r="X29" s="568" t="s">
        <v>265</v>
      </c>
      <c r="Y29" s="568" t="s">
        <v>265</v>
      </c>
      <c r="Z29" s="568" t="s">
        <v>265</v>
      </c>
      <c r="AA29" s="568" t="s">
        <v>265</v>
      </c>
      <c r="AB29" s="158" t="s">
        <v>661</v>
      </c>
    </row>
    <row r="30" spans="1:28" s="158" customFormat="1" ht="63" x14ac:dyDescent="0.25">
      <c r="A30" s="567">
        <v>6</v>
      </c>
      <c r="B30" s="568" t="s">
        <v>265</v>
      </c>
      <c r="C30" s="569" t="s">
        <v>662</v>
      </c>
      <c r="D30" s="568" t="s">
        <v>265</v>
      </c>
      <c r="E30" s="570" t="str">
        <f t="shared" si="0"/>
        <v>КЛ-0,4 кВ от I и II секции СП-1 0,4 кВ нов. до  I и II секции ВРУ(3) 0,4 кВ МКД 
№ 3 по ГП</v>
      </c>
      <c r="F30" s="568" t="s">
        <v>265</v>
      </c>
      <c r="G30" s="568">
        <v>0.4</v>
      </c>
      <c r="H30" s="568" t="s">
        <v>265</v>
      </c>
      <c r="I30" s="568">
        <v>0.4</v>
      </c>
      <c r="J30" s="568" t="s">
        <v>265</v>
      </c>
      <c r="K30" s="568" t="s">
        <v>265</v>
      </c>
      <c r="L30" s="568">
        <v>2</v>
      </c>
      <c r="M30" s="568" t="s">
        <v>265</v>
      </c>
      <c r="N30" s="568">
        <v>120</v>
      </c>
      <c r="O30" s="568" t="s">
        <v>265</v>
      </c>
      <c r="P30" s="568" t="s">
        <v>537</v>
      </c>
      <c r="Q30" s="568" t="s">
        <v>265</v>
      </c>
      <c r="R30" s="568">
        <v>0.01</v>
      </c>
      <c r="S30" s="570" t="s">
        <v>265</v>
      </c>
      <c r="T30" s="568" t="s">
        <v>265</v>
      </c>
      <c r="U30" s="568" t="s">
        <v>265</v>
      </c>
      <c r="V30" s="568" t="s">
        <v>265</v>
      </c>
      <c r="W30" s="568" t="s">
        <v>594</v>
      </c>
      <c r="X30" s="568" t="s">
        <v>265</v>
      </c>
      <c r="Y30" s="568" t="s">
        <v>265</v>
      </c>
      <c r="Z30" s="568" t="s">
        <v>265</v>
      </c>
      <c r="AA30" s="568" t="s">
        <v>265</v>
      </c>
      <c r="AB30" s="158" t="s">
        <v>661</v>
      </c>
    </row>
    <row r="31" spans="1:28" s="158" customFormat="1" ht="63" x14ac:dyDescent="0.25">
      <c r="A31" s="567">
        <v>7</v>
      </c>
      <c r="B31" s="568" t="s">
        <v>265</v>
      </c>
      <c r="C31" s="569" t="s">
        <v>663</v>
      </c>
      <c r="D31" s="568" t="s">
        <v>265</v>
      </c>
      <c r="E31" s="570" t="str">
        <f t="shared" si="0"/>
        <v>КЛ-0,4 кВ от I и II секции СП-1 0,4 кВ нов. до  I и II секции ВРУ(4) 0,4 кВ МКД 
№ 4 по ГП</v>
      </c>
      <c r="F31" s="568" t="s">
        <v>265</v>
      </c>
      <c r="G31" s="568">
        <v>0.4</v>
      </c>
      <c r="H31" s="568" t="s">
        <v>265</v>
      </c>
      <c r="I31" s="568">
        <v>0.4</v>
      </c>
      <c r="J31" s="568" t="s">
        <v>265</v>
      </c>
      <c r="K31" s="568" t="s">
        <v>265</v>
      </c>
      <c r="L31" s="568">
        <v>2</v>
      </c>
      <c r="M31" s="568" t="s">
        <v>265</v>
      </c>
      <c r="N31" s="568">
        <v>120</v>
      </c>
      <c r="O31" s="568" t="s">
        <v>265</v>
      </c>
      <c r="P31" s="568" t="s">
        <v>537</v>
      </c>
      <c r="Q31" s="568" t="s">
        <v>265</v>
      </c>
      <c r="R31" s="568">
        <v>0.01</v>
      </c>
      <c r="S31" s="570" t="s">
        <v>265</v>
      </c>
      <c r="T31" s="568" t="s">
        <v>265</v>
      </c>
      <c r="U31" s="568" t="s">
        <v>265</v>
      </c>
      <c r="V31" s="568" t="s">
        <v>265</v>
      </c>
      <c r="W31" s="568" t="s">
        <v>594</v>
      </c>
      <c r="X31" s="568" t="s">
        <v>265</v>
      </c>
      <c r="Y31" s="568" t="s">
        <v>265</v>
      </c>
      <c r="Z31" s="568" t="s">
        <v>265</v>
      </c>
      <c r="AA31" s="568" t="s">
        <v>265</v>
      </c>
      <c r="AB31" s="158" t="s">
        <v>661</v>
      </c>
    </row>
    <row r="32" spans="1:28" s="158" customFormat="1" ht="63" x14ac:dyDescent="0.25">
      <c r="A32" s="567">
        <v>8</v>
      </c>
      <c r="B32" s="568" t="s">
        <v>265</v>
      </c>
      <c r="C32" s="569" t="s">
        <v>664</v>
      </c>
      <c r="D32" s="568" t="s">
        <v>265</v>
      </c>
      <c r="E32" s="570" t="str">
        <f t="shared" si="0"/>
        <v>КЛ-0,4 кВ от I и II секции СП-1 0,4 кВ нов. до  I и II секции ВРУ(5) 0,4 кВ МКД 
№ 5 по ГП</v>
      </c>
      <c r="F32" s="568" t="s">
        <v>265</v>
      </c>
      <c r="G32" s="568">
        <v>0.4</v>
      </c>
      <c r="H32" s="568" t="s">
        <v>265</v>
      </c>
      <c r="I32" s="568">
        <v>0.4</v>
      </c>
      <c r="J32" s="568" t="s">
        <v>265</v>
      </c>
      <c r="K32" s="568" t="s">
        <v>265</v>
      </c>
      <c r="L32" s="568">
        <v>2</v>
      </c>
      <c r="M32" s="568" t="s">
        <v>265</v>
      </c>
      <c r="N32" s="568">
        <v>120</v>
      </c>
      <c r="O32" s="568" t="s">
        <v>265</v>
      </c>
      <c r="P32" s="568" t="s">
        <v>537</v>
      </c>
      <c r="Q32" s="568" t="s">
        <v>265</v>
      </c>
      <c r="R32" s="568">
        <v>0.01</v>
      </c>
      <c r="S32" s="570" t="s">
        <v>265</v>
      </c>
      <c r="T32" s="568" t="s">
        <v>265</v>
      </c>
      <c r="U32" s="568" t="s">
        <v>265</v>
      </c>
      <c r="V32" s="568" t="s">
        <v>265</v>
      </c>
      <c r="W32" s="568" t="s">
        <v>594</v>
      </c>
      <c r="X32" s="568" t="s">
        <v>265</v>
      </c>
      <c r="Y32" s="568" t="s">
        <v>265</v>
      </c>
      <c r="Z32" s="568" t="s">
        <v>265</v>
      </c>
      <c r="AA32" s="568" t="s">
        <v>265</v>
      </c>
      <c r="AB32" s="158" t="s">
        <v>661</v>
      </c>
    </row>
    <row r="33" spans="1:28" s="158" customFormat="1" ht="47.25" x14ac:dyDescent="0.25">
      <c r="A33" s="567">
        <v>9</v>
      </c>
      <c r="B33" s="568" t="s">
        <v>265</v>
      </c>
      <c r="C33" s="569" t="s">
        <v>665</v>
      </c>
      <c r="D33" s="568" t="s">
        <v>265</v>
      </c>
      <c r="E33" s="570" t="str">
        <f>C33</f>
        <v xml:space="preserve">КЛ-0,4 кВ от I и II секции РУ 0,4 кВ КТП нов. до  I и II секции СП-2 0,4 кВ нов. </v>
      </c>
      <c r="F33" s="568" t="s">
        <v>265</v>
      </c>
      <c r="G33" s="568">
        <v>0.4</v>
      </c>
      <c r="H33" s="568" t="s">
        <v>265</v>
      </c>
      <c r="I33" s="568">
        <v>0.4</v>
      </c>
      <c r="J33" s="568" t="s">
        <v>265</v>
      </c>
      <c r="K33" s="568" t="s">
        <v>265</v>
      </c>
      <c r="L33" s="568">
        <v>2</v>
      </c>
      <c r="M33" s="568" t="s">
        <v>265</v>
      </c>
      <c r="N33" s="568">
        <v>120</v>
      </c>
      <c r="O33" s="568" t="s">
        <v>265</v>
      </c>
      <c r="P33" s="568" t="s">
        <v>537</v>
      </c>
      <c r="Q33" s="568" t="s">
        <v>265</v>
      </c>
      <c r="R33" s="568">
        <v>0.06</v>
      </c>
      <c r="S33" s="570" t="s">
        <v>265</v>
      </c>
      <c r="T33" s="568" t="s">
        <v>265</v>
      </c>
      <c r="U33" s="568" t="s">
        <v>265</v>
      </c>
      <c r="V33" s="568" t="s">
        <v>265</v>
      </c>
      <c r="W33" s="568" t="s">
        <v>594</v>
      </c>
      <c r="X33" s="568" t="s">
        <v>265</v>
      </c>
      <c r="Y33" s="568" t="s">
        <v>265</v>
      </c>
      <c r="Z33" s="568" t="s">
        <v>265</v>
      </c>
      <c r="AA33" s="568" t="s">
        <v>265</v>
      </c>
      <c r="AB33" s="158" t="s">
        <v>661</v>
      </c>
    </row>
    <row r="34" spans="1:28" x14ac:dyDescent="0.25">
      <c r="Q34" s="6">
        <f>SUM(Q25:Q33)</f>
        <v>0</v>
      </c>
      <c r="R34" s="571">
        <f>SUM(R25:R33)</f>
        <v>3.6199999999999997</v>
      </c>
      <c r="S34" s="6">
        <f>R34-Q34</f>
        <v>3.6199999999999997</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70" customWidth="1"/>
    <col min="2" max="2" width="53.5703125" style="70" customWidth="1"/>
    <col min="3" max="3" width="255.57031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30" t="str">
        <f>'3.2 паспорт Техсостояние ЛЭП'!A5</f>
        <v>Год раскрытия информации: 2025 год</v>
      </c>
      <c r="B5" s="430"/>
      <c r="C5" s="430"/>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37" t="s">
        <v>7</v>
      </c>
      <c r="B7" s="437"/>
      <c r="C7" s="437"/>
      <c r="D7" s="73"/>
      <c r="E7" s="73"/>
      <c r="F7" s="73"/>
      <c r="G7" s="73"/>
      <c r="H7" s="73"/>
      <c r="I7" s="73"/>
      <c r="J7" s="73"/>
      <c r="K7" s="73"/>
      <c r="L7" s="73"/>
      <c r="M7" s="73"/>
      <c r="N7" s="73"/>
      <c r="O7" s="73"/>
      <c r="P7" s="73"/>
      <c r="Q7" s="73"/>
      <c r="R7" s="73"/>
      <c r="S7" s="73"/>
      <c r="T7" s="73"/>
      <c r="U7" s="73"/>
    </row>
    <row r="8" spans="1:29" s="2" customFormat="1" ht="18.75" x14ac:dyDescent="0.2">
      <c r="A8" s="437"/>
      <c r="B8" s="437"/>
      <c r="C8" s="437"/>
      <c r="D8" s="74"/>
      <c r="E8" s="74"/>
      <c r="F8" s="74"/>
      <c r="G8" s="74"/>
      <c r="H8" s="73"/>
      <c r="I8" s="73"/>
      <c r="J8" s="73"/>
      <c r="K8" s="73"/>
      <c r="L8" s="73"/>
      <c r="M8" s="73"/>
      <c r="N8" s="73"/>
      <c r="O8" s="73"/>
      <c r="P8" s="73"/>
      <c r="Q8" s="73"/>
      <c r="R8" s="73"/>
      <c r="S8" s="73"/>
      <c r="T8" s="73"/>
      <c r="U8" s="73"/>
    </row>
    <row r="9" spans="1:29" s="2" customFormat="1" ht="18.75" x14ac:dyDescent="0.2">
      <c r="A9" s="442" t="str">
        <f>'3.2 паспорт Техсостояние ЛЭП'!E9</f>
        <v>Акционерное общество "Россети Янтарь" ДЗО  ПАО "Россети"</v>
      </c>
      <c r="B9" s="442"/>
      <c r="C9" s="442"/>
      <c r="D9" s="75"/>
      <c r="E9" s="75"/>
      <c r="F9" s="75"/>
      <c r="G9" s="75"/>
      <c r="H9" s="73"/>
      <c r="I9" s="73"/>
      <c r="J9" s="73"/>
      <c r="K9" s="73"/>
      <c r="L9" s="73"/>
      <c r="M9" s="73"/>
      <c r="N9" s="73"/>
      <c r="O9" s="73"/>
      <c r="P9" s="73"/>
      <c r="Q9" s="73"/>
      <c r="R9" s="73"/>
      <c r="S9" s="73"/>
      <c r="T9" s="73"/>
      <c r="U9" s="73"/>
    </row>
    <row r="10" spans="1:29" s="2" customFormat="1" ht="18.75" x14ac:dyDescent="0.2">
      <c r="A10" s="434" t="s">
        <v>6</v>
      </c>
      <c r="B10" s="434"/>
      <c r="C10" s="434"/>
      <c r="D10" s="76"/>
      <c r="E10" s="76"/>
      <c r="F10" s="76"/>
      <c r="G10" s="76"/>
      <c r="H10" s="73"/>
      <c r="I10" s="73"/>
      <c r="J10" s="73"/>
      <c r="K10" s="73"/>
      <c r="L10" s="73"/>
      <c r="M10" s="73"/>
      <c r="N10" s="73"/>
      <c r="O10" s="73"/>
      <c r="P10" s="73"/>
      <c r="Q10" s="73"/>
      <c r="R10" s="73"/>
      <c r="S10" s="73"/>
      <c r="T10" s="73"/>
      <c r="U10" s="73"/>
    </row>
    <row r="11" spans="1:29" s="2" customFormat="1" ht="18.75" x14ac:dyDescent="0.2">
      <c r="A11" s="437"/>
      <c r="B11" s="437"/>
      <c r="C11" s="437"/>
      <c r="D11" s="74"/>
      <c r="E11" s="74"/>
      <c r="F11" s="74"/>
      <c r="G11" s="74"/>
      <c r="H11" s="73"/>
      <c r="I11" s="73"/>
      <c r="J11" s="73"/>
      <c r="K11" s="73"/>
      <c r="L11" s="73"/>
      <c r="M11" s="73"/>
      <c r="N11" s="73"/>
      <c r="O11" s="73"/>
      <c r="P11" s="73"/>
      <c r="Q11" s="73"/>
      <c r="R11" s="73"/>
      <c r="S11" s="73"/>
      <c r="T11" s="73"/>
      <c r="U11" s="73"/>
    </row>
    <row r="12" spans="1:29" s="2" customFormat="1" ht="18.75" x14ac:dyDescent="0.2">
      <c r="A12" s="442" t="str">
        <f>'3.2 паспорт Техсостояние ЛЭП'!E12</f>
        <v>N_21-0947</v>
      </c>
      <c r="B12" s="442"/>
      <c r="C12" s="442"/>
      <c r="D12" s="75"/>
      <c r="E12" s="75"/>
      <c r="F12" s="75"/>
      <c r="G12" s="75"/>
      <c r="H12" s="73"/>
      <c r="I12" s="73"/>
      <c r="J12" s="73"/>
      <c r="K12" s="73"/>
      <c r="L12" s="73"/>
      <c r="M12" s="73"/>
      <c r="N12" s="73"/>
      <c r="O12" s="73"/>
      <c r="P12" s="73"/>
      <c r="Q12" s="73"/>
      <c r="R12" s="73"/>
      <c r="S12" s="73"/>
      <c r="T12" s="73"/>
      <c r="U12" s="73"/>
    </row>
    <row r="13" spans="1:29" s="2" customFormat="1" ht="18.75" x14ac:dyDescent="0.2">
      <c r="A13" s="434" t="s">
        <v>5</v>
      </c>
      <c r="B13" s="434"/>
      <c r="C13" s="434"/>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43"/>
      <c r="B14" s="443"/>
      <c r="C14" s="443"/>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39" t="str">
        <f>'3.2 паспорт Техсостояние ЛЭП'!E15</f>
        <v>Строительство ТП 15/0,4 кВ, 2-х ЛЭП 15 кВ от ЗРУ 15 кВ ПС 110 кВ О-10, ЛЭП 0,4 кВ, организация системы учета электроэнергии в г. Зеленоградске, п. Вишневое</v>
      </c>
      <c r="B15" s="439"/>
      <c r="C15" s="439"/>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34" t="s">
        <v>4</v>
      </c>
      <c r="B16" s="434"/>
      <c r="C16" s="434"/>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40"/>
      <c r="B17" s="440"/>
      <c r="C17" s="440"/>
      <c r="D17" s="80"/>
      <c r="E17" s="80"/>
      <c r="F17" s="80"/>
      <c r="G17" s="80"/>
      <c r="H17" s="80"/>
      <c r="I17" s="80"/>
      <c r="J17" s="80"/>
      <c r="K17" s="80"/>
      <c r="L17" s="80"/>
      <c r="M17" s="80"/>
      <c r="N17" s="80"/>
      <c r="O17" s="80"/>
      <c r="P17" s="80"/>
      <c r="Q17" s="80"/>
      <c r="R17" s="80"/>
    </row>
    <row r="18" spans="1:21" s="79" customFormat="1" ht="27.75" customHeight="1" x14ac:dyDescent="0.2">
      <c r="A18" s="435" t="s">
        <v>347</v>
      </c>
      <c r="B18" s="435"/>
      <c r="C18" s="435"/>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384" t="s">
        <v>595</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102" t="s">
        <v>58</v>
      </c>
      <c r="C23" s="181" t="str">
        <f>CONCATENATE("Присоединение энергопринимающих устройств максимальной мощностью ",'2. паспорт  ТП'!H25," МВт")</f>
        <v>Присоединение энергопринимающих устройств максимальной мощностью 1,1595 МВт</v>
      </c>
      <c r="D23" s="97"/>
      <c r="E23" s="97"/>
      <c r="F23" s="97"/>
      <c r="G23" s="97"/>
      <c r="H23" s="97"/>
      <c r="I23" s="97"/>
      <c r="J23" s="97"/>
      <c r="K23" s="97"/>
      <c r="L23" s="97"/>
      <c r="M23" s="97"/>
      <c r="N23" s="97"/>
      <c r="O23" s="97"/>
      <c r="P23" s="97"/>
      <c r="Q23" s="97"/>
      <c r="R23" s="97"/>
      <c r="S23" s="97"/>
      <c r="T23" s="97"/>
      <c r="U23" s="97"/>
    </row>
    <row r="24" spans="1:21" ht="409.5" x14ac:dyDescent="0.25">
      <c r="A24" s="88" t="s">
        <v>60</v>
      </c>
      <c r="B24" s="102" t="s">
        <v>538</v>
      </c>
      <c r="C24" s="573" t="s">
        <v>676</v>
      </c>
      <c r="D24" s="97"/>
      <c r="E24" s="97"/>
      <c r="F24" s="97"/>
      <c r="G24" s="97"/>
      <c r="H24" s="97"/>
      <c r="I24" s="97"/>
      <c r="J24" s="97"/>
      <c r="K24" s="97"/>
      <c r="L24" s="97"/>
      <c r="M24" s="97"/>
      <c r="N24" s="97"/>
      <c r="O24" s="97"/>
      <c r="P24" s="97"/>
      <c r="Q24" s="97"/>
      <c r="R24" s="97"/>
      <c r="S24" s="97"/>
      <c r="T24" s="97"/>
      <c r="U24" s="97"/>
    </row>
    <row r="25" spans="1:21" ht="63" customHeight="1" x14ac:dyDescent="0.25">
      <c r="A25" s="88" t="s">
        <v>59</v>
      </c>
      <c r="B25" s="102" t="s">
        <v>379</v>
      </c>
      <c r="C25" s="572" t="s">
        <v>677</v>
      </c>
      <c r="D25" s="97"/>
      <c r="E25" s="97"/>
      <c r="F25" s="97"/>
      <c r="G25" s="97"/>
      <c r="H25" s="97"/>
      <c r="I25" s="97"/>
      <c r="J25" s="97"/>
      <c r="K25" s="97"/>
      <c r="L25" s="97"/>
      <c r="M25" s="97"/>
      <c r="N25" s="97"/>
      <c r="O25" s="97"/>
      <c r="P25" s="97"/>
      <c r="Q25" s="97"/>
      <c r="R25" s="97"/>
      <c r="S25" s="97"/>
      <c r="T25" s="97"/>
      <c r="U25" s="97"/>
    </row>
    <row r="26" spans="1:21" ht="42.75" customHeight="1" x14ac:dyDescent="0.25">
      <c r="A26" s="88" t="s">
        <v>57</v>
      </c>
      <c r="B26" s="102" t="s">
        <v>202</v>
      </c>
      <c r="C26" s="96" t="s">
        <v>400</v>
      </c>
      <c r="D26" s="97"/>
      <c r="E26" s="97"/>
      <c r="F26" s="97"/>
      <c r="G26" s="97"/>
      <c r="H26" s="97"/>
      <c r="I26" s="97"/>
      <c r="J26" s="97"/>
      <c r="K26" s="97"/>
      <c r="L26" s="97"/>
      <c r="M26" s="97"/>
      <c r="N26" s="97"/>
      <c r="O26" s="97"/>
      <c r="P26" s="97"/>
      <c r="Q26" s="97"/>
      <c r="R26" s="97"/>
      <c r="S26" s="97"/>
      <c r="T26" s="97"/>
      <c r="U26" s="97"/>
    </row>
    <row r="27" spans="1:21" ht="47.25" x14ac:dyDescent="0.25">
      <c r="A27" s="88" t="s">
        <v>56</v>
      </c>
      <c r="B27" s="102" t="s">
        <v>361</v>
      </c>
      <c r="C27" s="96" t="str">
        <f>CONCATENATE("Договоры об осуществлении технологического присоединения ",'2. паспорт  ТП'!B22,"; ",'2. паспорт  ТП'!B23,";'2. паспорт  ТП'!22:27",'2. паспорт  ТП'!B24,"; ",
"Постановление Правительства Российской Федерации от 27 декабря 2004 г. № 861")</f>
        <v>Договоры об осуществлении технологического присоединения 711/01/22 от 21.03.2022; 7788/12/20 от 01.02.2021;'2. паспорт  ТП'!22:272020/03/22 от 28.03.2022; Постановление Правительства Российской Федерации от 27 декабря 2004 г. № 861</v>
      </c>
      <c r="D27" s="97"/>
      <c r="E27" s="322"/>
      <c r="F27" s="97"/>
      <c r="G27" s="97"/>
      <c r="H27" s="97"/>
      <c r="I27" s="97"/>
      <c r="J27" s="97"/>
      <c r="K27" s="97"/>
      <c r="L27" s="97"/>
      <c r="M27" s="97"/>
      <c r="N27" s="97"/>
      <c r="O27" s="97"/>
      <c r="P27" s="97"/>
      <c r="Q27" s="97"/>
      <c r="R27" s="97"/>
      <c r="S27" s="97"/>
      <c r="T27" s="97"/>
      <c r="U27" s="97"/>
    </row>
    <row r="28" spans="1:21" ht="42.75" customHeight="1" x14ac:dyDescent="0.25">
      <c r="A28" s="88" t="s">
        <v>54</v>
      </c>
      <c r="B28" s="102" t="s">
        <v>55</v>
      </c>
      <c r="C28" s="96">
        <v>2023</v>
      </c>
      <c r="D28" s="97"/>
      <c r="E28" s="97"/>
      <c r="F28" s="97"/>
      <c r="G28" s="97"/>
      <c r="H28" s="97"/>
      <c r="I28" s="97"/>
      <c r="J28" s="97"/>
      <c r="K28" s="97"/>
      <c r="L28" s="97"/>
      <c r="M28" s="97"/>
      <c r="N28" s="97"/>
      <c r="O28" s="97"/>
      <c r="P28" s="97"/>
      <c r="Q28" s="97"/>
      <c r="R28" s="97"/>
      <c r="S28" s="97"/>
      <c r="T28" s="97"/>
      <c r="U28" s="97"/>
    </row>
    <row r="29" spans="1:21" ht="42.75" customHeight="1" x14ac:dyDescent="0.25">
      <c r="A29" s="88" t="s">
        <v>52</v>
      </c>
      <c r="B29" s="82" t="s">
        <v>53</v>
      </c>
      <c r="C29" s="96">
        <v>2025</v>
      </c>
      <c r="D29" s="97"/>
      <c r="E29" s="97"/>
      <c r="F29" s="97"/>
      <c r="G29" s="97"/>
      <c r="H29" s="97"/>
      <c r="I29" s="97"/>
      <c r="J29" s="97"/>
      <c r="K29" s="97"/>
      <c r="L29" s="97"/>
      <c r="M29" s="97"/>
      <c r="N29" s="97"/>
      <c r="O29" s="97"/>
      <c r="P29" s="97"/>
      <c r="Q29" s="97"/>
      <c r="R29" s="97"/>
      <c r="S29" s="97"/>
      <c r="T29" s="97"/>
      <c r="U29" s="97"/>
    </row>
    <row r="30" spans="1:21" ht="42.75" customHeight="1" x14ac:dyDescent="0.25">
      <c r="A30" s="88" t="s">
        <v>70</v>
      </c>
      <c r="B30" s="82" t="s">
        <v>51</v>
      </c>
      <c r="C30" s="96" t="s">
        <v>610</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103" customWidth="1"/>
    <col min="2" max="2" width="30.140625" style="103" customWidth="1"/>
    <col min="3" max="3" width="12.28515625" style="103" customWidth="1"/>
    <col min="4" max="5" width="15" style="103" customWidth="1"/>
    <col min="6" max="7" width="13.28515625" style="103" customWidth="1"/>
    <col min="8" max="8" width="12.28515625" style="103" customWidth="1"/>
    <col min="9" max="9" width="17.85546875" style="103" customWidth="1"/>
    <col min="10" max="10" width="16.7109375" style="103" customWidth="1"/>
    <col min="11" max="11" width="24.5703125" style="103" customWidth="1"/>
    <col min="12" max="12" width="30.85546875" style="103" customWidth="1"/>
    <col min="13" max="13" width="27.140625" style="103" customWidth="1"/>
    <col min="14" max="14" width="32.42578125" style="103" customWidth="1"/>
    <col min="15" max="15" width="13.28515625" style="103" customWidth="1"/>
    <col min="16" max="16" width="8.7109375" style="103" customWidth="1"/>
    <col min="17" max="17" width="12.7109375" style="103" customWidth="1"/>
    <col min="18" max="18" width="9.140625" style="103"/>
    <col min="19" max="19" width="17" style="103" customWidth="1"/>
    <col min="20" max="21" width="12" style="103" customWidth="1"/>
    <col min="22" max="22" width="11" style="103" customWidth="1"/>
    <col min="23" max="25" width="17.7109375" style="103" customWidth="1"/>
    <col min="26" max="26" width="46.5703125" style="103" customWidth="1"/>
    <col min="27" max="28" width="12.28515625" style="103" customWidth="1"/>
    <col min="29" max="16384" width="9.140625" style="103"/>
  </cols>
  <sheetData>
    <row r="1" spans="1:28" ht="18.75" x14ac:dyDescent="0.25">
      <c r="Z1" s="4" t="s">
        <v>66</v>
      </c>
    </row>
    <row r="2" spans="1:28" ht="18.75" x14ac:dyDescent="0.3">
      <c r="Z2" s="1" t="s">
        <v>8</v>
      </c>
    </row>
    <row r="3" spans="1:28" ht="18.75" x14ac:dyDescent="0.3">
      <c r="Z3" s="1" t="s">
        <v>65</v>
      </c>
    </row>
    <row r="4" spans="1:28" ht="18.75" customHeight="1" x14ac:dyDescent="0.25">
      <c r="A4" s="430" t="str">
        <f>'3.3 паспорт описание'!A5</f>
        <v>Год раскрытия информации: 2025 год</v>
      </c>
      <c r="B4" s="430"/>
      <c r="C4" s="430"/>
      <c r="D4" s="430"/>
      <c r="E4" s="430"/>
      <c r="F4" s="430"/>
      <c r="G4" s="430"/>
      <c r="H4" s="430"/>
      <c r="I4" s="430"/>
      <c r="J4" s="430"/>
      <c r="K4" s="430"/>
      <c r="L4" s="430"/>
      <c r="M4" s="430"/>
      <c r="N4" s="430"/>
      <c r="O4" s="430"/>
      <c r="P4" s="430"/>
      <c r="Q4" s="430"/>
      <c r="R4" s="430"/>
      <c r="S4" s="430"/>
      <c r="T4" s="430"/>
      <c r="U4" s="430"/>
      <c r="V4" s="430"/>
      <c r="W4" s="430"/>
      <c r="X4" s="430"/>
      <c r="Y4" s="430"/>
      <c r="Z4" s="430"/>
    </row>
    <row r="6" spans="1:28"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73"/>
      <c r="AB6" s="73"/>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73"/>
      <c r="AB7" s="73"/>
    </row>
    <row r="8" spans="1:28" ht="15.75" x14ac:dyDescent="0.25">
      <c r="A8" s="442" t="str">
        <f>'3.3 паспорт описание'!A9:C9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75"/>
      <c r="AB8" s="75"/>
    </row>
    <row r="9" spans="1:28" ht="15.75" x14ac:dyDescent="0.25">
      <c r="A9" s="434" t="s">
        <v>6</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76"/>
      <c r="AB9" s="76"/>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73"/>
      <c r="AB10" s="73"/>
    </row>
    <row r="11" spans="1:28" ht="15.75" x14ac:dyDescent="0.25">
      <c r="A11" s="442" t="str">
        <f>'3.3 паспорт описание'!A12:C12</f>
        <v>N_21-0947</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75"/>
      <c r="AB11" s="75"/>
    </row>
    <row r="12" spans="1:28" ht="15.75"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76"/>
      <c r="AB12" s="76"/>
    </row>
    <row r="13" spans="1:28" ht="18.75" x14ac:dyDescent="0.25">
      <c r="A13" s="443"/>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104"/>
      <c r="AB13" s="104"/>
    </row>
    <row r="14" spans="1:28" ht="24.75" customHeight="1" x14ac:dyDescent="0.25">
      <c r="A14" s="439" t="str">
        <f>'3.3 паспорт описание'!A15:C15</f>
        <v>Строительство ТП 15/0,4 кВ, 2-х ЛЭП 15 кВ от ЗРУ 15 кВ ПС 110 кВ О-10, ЛЭП 0,4 кВ, организация системы учета электроэнергии в г. Зеленоградске, п. Вишневое</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75"/>
      <c r="AB14" s="75"/>
    </row>
    <row r="15" spans="1:28" ht="15.75"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76"/>
      <c r="AB15" s="76"/>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05"/>
      <c r="AB16" s="105"/>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05"/>
      <c r="AB17" s="105"/>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05"/>
      <c r="AB18" s="105"/>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05"/>
      <c r="AB19" s="105"/>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06"/>
      <c r="AB20" s="106"/>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06"/>
      <c r="AB21" s="106"/>
    </row>
    <row r="22" spans="1:28" x14ac:dyDescent="0.25">
      <c r="A22" s="467" t="s">
        <v>378</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07"/>
      <c r="AB22" s="107"/>
    </row>
    <row r="23" spans="1:28" ht="32.25" customHeight="1" x14ac:dyDescent="0.25">
      <c r="A23" s="469" t="s">
        <v>263</v>
      </c>
      <c r="B23" s="470"/>
      <c r="C23" s="470"/>
      <c r="D23" s="470"/>
      <c r="E23" s="470"/>
      <c r="F23" s="470"/>
      <c r="G23" s="470"/>
      <c r="H23" s="470"/>
      <c r="I23" s="470"/>
      <c r="J23" s="470"/>
      <c r="K23" s="470"/>
      <c r="L23" s="471"/>
      <c r="M23" s="468" t="s">
        <v>264</v>
      </c>
      <c r="N23" s="468"/>
      <c r="O23" s="468"/>
      <c r="P23" s="468"/>
      <c r="Q23" s="468"/>
      <c r="R23" s="468"/>
      <c r="S23" s="468"/>
      <c r="T23" s="468"/>
      <c r="U23" s="468"/>
      <c r="V23" s="468"/>
      <c r="W23" s="468"/>
      <c r="X23" s="468"/>
      <c r="Y23" s="468"/>
      <c r="Z23" s="468"/>
    </row>
    <row r="24" spans="1:28" ht="151.5" customHeight="1" x14ac:dyDescent="0.25">
      <c r="A24" s="108" t="s">
        <v>204</v>
      </c>
      <c r="B24" s="109" t="s">
        <v>210</v>
      </c>
      <c r="C24" s="108" t="s">
        <v>261</v>
      </c>
      <c r="D24" s="108" t="s">
        <v>205</v>
      </c>
      <c r="E24" s="108" t="s">
        <v>262</v>
      </c>
      <c r="F24" s="108" t="s">
        <v>451</v>
      </c>
      <c r="G24" s="108" t="s">
        <v>452</v>
      </c>
      <c r="H24" s="108" t="s">
        <v>206</v>
      </c>
      <c r="I24" s="108" t="s">
        <v>453</v>
      </c>
      <c r="J24" s="108" t="s">
        <v>211</v>
      </c>
      <c r="K24" s="109" t="s">
        <v>209</v>
      </c>
      <c r="L24" s="109" t="s">
        <v>207</v>
      </c>
      <c r="M24" s="110" t="s">
        <v>213</v>
      </c>
      <c r="N24" s="109" t="s">
        <v>454</v>
      </c>
      <c r="O24" s="108" t="s">
        <v>455</v>
      </c>
      <c r="P24" s="108" t="s">
        <v>456</v>
      </c>
      <c r="Q24" s="108" t="s">
        <v>457</v>
      </c>
      <c r="R24" s="108" t="s">
        <v>206</v>
      </c>
      <c r="S24" s="108" t="s">
        <v>458</v>
      </c>
      <c r="T24" s="108" t="s">
        <v>459</v>
      </c>
      <c r="U24" s="108" t="s">
        <v>460</v>
      </c>
      <c r="V24" s="108" t="s">
        <v>457</v>
      </c>
      <c r="W24" s="111" t="s">
        <v>461</v>
      </c>
      <c r="X24" s="111" t="s">
        <v>462</v>
      </c>
      <c r="Y24" s="111" t="s">
        <v>463</v>
      </c>
      <c r="Z24" s="112" t="s">
        <v>214</v>
      </c>
    </row>
    <row r="25" spans="1:28" ht="16.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customFormat="1" ht="45.75" customHeight="1" x14ac:dyDescent="0.25">
      <c r="A26" s="182" t="s">
        <v>259</v>
      </c>
      <c r="B26" s="183"/>
      <c r="C26" s="184" t="s">
        <v>477</v>
      </c>
      <c r="D26" s="184" t="s">
        <v>478</v>
      </c>
      <c r="E26" s="184" t="s">
        <v>479</v>
      </c>
      <c r="F26" s="184" t="s">
        <v>480</v>
      </c>
      <c r="G26" s="184" t="s">
        <v>481</v>
      </c>
      <c r="H26" s="184" t="s">
        <v>206</v>
      </c>
      <c r="I26" s="184" t="s">
        <v>482</v>
      </c>
      <c r="J26" s="184" t="s">
        <v>483</v>
      </c>
      <c r="K26" s="185"/>
      <c r="L26" s="186" t="s">
        <v>484</v>
      </c>
      <c r="M26" s="187" t="s">
        <v>485</v>
      </c>
      <c r="N26" s="185"/>
      <c r="O26" s="185"/>
      <c r="P26" s="185"/>
      <c r="Q26" s="185"/>
      <c r="R26" s="185"/>
      <c r="S26" s="185"/>
      <c r="T26" s="185"/>
      <c r="U26" s="185"/>
      <c r="V26" s="185"/>
      <c r="W26" s="185"/>
      <c r="X26" s="185"/>
      <c r="Y26" s="185"/>
      <c r="Z26" s="188" t="s">
        <v>215</v>
      </c>
    </row>
    <row r="27" spans="1:28" customFormat="1" x14ac:dyDescent="0.25">
      <c r="A27" s="185" t="s">
        <v>486</v>
      </c>
      <c r="B27" s="185" t="s">
        <v>487</v>
      </c>
      <c r="C27" s="185" t="s">
        <v>488</v>
      </c>
      <c r="D27" s="185" t="s">
        <v>489</v>
      </c>
      <c r="E27" s="185" t="s">
        <v>490</v>
      </c>
      <c r="F27" s="184" t="s">
        <v>491</v>
      </c>
      <c r="G27" s="184" t="s">
        <v>492</v>
      </c>
      <c r="H27" s="185" t="s">
        <v>206</v>
      </c>
      <c r="I27" s="184" t="s">
        <v>493</v>
      </c>
      <c r="J27" s="184" t="s">
        <v>494</v>
      </c>
      <c r="K27" s="186" t="s">
        <v>495</v>
      </c>
      <c r="L27" s="185"/>
      <c r="M27" s="186" t="s">
        <v>496</v>
      </c>
      <c r="N27" s="185"/>
      <c r="O27" s="185"/>
      <c r="P27" s="185"/>
      <c r="Q27" s="185"/>
      <c r="R27" s="185"/>
      <c r="S27" s="185"/>
      <c r="T27" s="185"/>
      <c r="U27" s="185"/>
      <c r="V27" s="185"/>
      <c r="W27" s="185"/>
      <c r="X27" s="185"/>
      <c r="Y27" s="185"/>
      <c r="Z27" s="185"/>
    </row>
    <row r="28" spans="1:28" customFormat="1" x14ac:dyDescent="0.25">
      <c r="A28" s="185" t="s">
        <v>486</v>
      </c>
      <c r="B28" s="185" t="s">
        <v>497</v>
      </c>
      <c r="C28" s="185" t="s">
        <v>498</v>
      </c>
      <c r="D28" s="185" t="s">
        <v>499</v>
      </c>
      <c r="E28" s="185" t="s">
        <v>500</v>
      </c>
      <c r="F28" s="184" t="s">
        <v>501</v>
      </c>
      <c r="G28" s="184" t="s">
        <v>502</v>
      </c>
      <c r="H28" s="185" t="s">
        <v>206</v>
      </c>
      <c r="I28" s="184" t="s">
        <v>503</v>
      </c>
      <c r="J28" s="184" t="s">
        <v>504</v>
      </c>
      <c r="K28" s="186" t="s">
        <v>505</v>
      </c>
      <c r="L28" s="189"/>
      <c r="M28" s="186" t="s">
        <v>0</v>
      </c>
      <c r="N28" s="186"/>
      <c r="O28" s="186"/>
      <c r="P28" s="186"/>
      <c r="Q28" s="186"/>
      <c r="R28" s="186"/>
      <c r="S28" s="186"/>
      <c r="T28" s="186"/>
      <c r="U28" s="186"/>
      <c r="V28" s="186"/>
      <c r="W28" s="186"/>
      <c r="X28" s="186"/>
      <c r="Y28" s="186"/>
      <c r="Z28" s="186"/>
    </row>
    <row r="29" spans="1:28" customFormat="1" x14ac:dyDescent="0.25">
      <c r="A29" s="185" t="s">
        <v>486</v>
      </c>
      <c r="B29" s="185" t="s">
        <v>506</v>
      </c>
      <c r="C29" s="185" t="s">
        <v>507</v>
      </c>
      <c r="D29" s="185" t="s">
        <v>508</v>
      </c>
      <c r="E29" s="185" t="s">
        <v>509</v>
      </c>
      <c r="F29" s="184" t="s">
        <v>510</v>
      </c>
      <c r="G29" s="184" t="s">
        <v>511</v>
      </c>
      <c r="H29" s="185" t="s">
        <v>206</v>
      </c>
      <c r="I29" s="184" t="s">
        <v>512</v>
      </c>
      <c r="J29" s="184" t="s">
        <v>513</v>
      </c>
      <c r="K29" s="186" t="s">
        <v>514</v>
      </c>
      <c r="L29" s="189"/>
      <c r="M29" s="185"/>
      <c r="N29" s="185"/>
      <c r="O29" s="185"/>
      <c r="P29" s="185"/>
      <c r="Q29" s="185"/>
      <c r="R29" s="185"/>
      <c r="S29" s="185"/>
      <c r="T29" s="185"/>
      <c r="U29" s="185"/>
      <c r="V29" s="185"/>
      <c r="W29" s="185"/>
      <c r="X29" s="185"/>
      <c r="Y29" s="185"/>
      <c r="Z29" s="185"/>
    </row>
    <row r="30" spans="1:28" customFormat="1" x14ac:dyDescent="0.25">
      <c r="A30" s="185" t="s">
        <v>486</v>
      </c>
      <c r="B30" s="185" t="s">
        <v>515</v>
      </c>
      <c r="C30" s="185" t="s">
        <v>516</v>
      </c>
      <c r="D30" s="185" t="s">
        <v>517</v>
      </c>
      <c r="E30" s="185" t="s">
        <v>518</v>
      </c>
      <c r="F30" s="184" t="s">
        <v>519</v>
      </c>
      <c r="G30" s="184" t="s">
        <v>520</v>
      </c>
      <c r="H30" s="185" t="s">
        <v>206</v>
      </c>
      <c r="I30" s="184" t="s">
        <v>521</v>
      </c>
      <c r="J30" s="184" t="s">
        <v>522</v>
      </c>
      <c r="K30" s="186" t="s">
        <v>523</v>
      </c>
      <c r="L30" s="189"/>
      <c r="M30" s="185"/>
      <c r="N30" s="185"/>
      <c r="O30" s="185"/>
      <c r="P30" s="185"/>
      <c r="Q30" s="185"/>
      <c r="R30" s="185"/>
      <c r="S30" s="185"/>
      <c r="T30" s="185"/>
      <c r="U30" s="185"/>
      <c r="V30" s="185"/>
      <c r="W30" s="185"/>
      <c r="X30" s="185"/>
      <c r="Y30" s="185"/>
      <c r="Z30" s="185"/>
    </row>
    <row r="31" spans="1:28" customFormat="1" x14ac:dyDescent="0.25">
      <c r="A31" s="185" t="s">
        <v>0</v>
      </c>
      <c r="B31" s="185" t="s">
        <v>0</v>
      </c>
      <c r="C31" s="185" t="s">
        <v>0</v>
      </c>
      <c r="D31" s="185" t="s">
        <v>0</v>
      </c>
      <c r="E31" s="185" t="s">
        <v>0</v>
      </c>
      <c r="F31" s="185" t="s">
        <v>0</v>
      </c>
      <c r="G31" s="185" t="s">
        <v>0</v>
      </c>
      <c r="H31" s="185" t="s">
        <v>0</v>
      </c>
      <c r="I31" s="185" t="s">
        <v>0</v>
      </c>
      <c r="J31" s="185" t="s">
        <v>0</v>
      </c>
      <c r="K31" s="185" t="s">
        <v>0</v>
      </c>
      <c r="L31" s="189"/>
      <c r="M31" s="185"/>
      <c r="N31" s="185"/>
      <c r="O31" s="185"/>
      <c r="P31" s="185"/>
      <c r="Q31" s="185"/>
      <c r="R31" s="185"/>
      <c r="S31" s="185"/>
      <c r="T31" s="185"/>
      <c r="U31" s="185"/>
      <c r="V31" s="185"/>
      <c r="W31" s="185"/>
      <c r="X31" s="185"/>
      <c r="Y31" s="185"/>
      <c r="Z31" s="185"/>
    </row>
    <row r="32" spans="1:28" customFormat="1" ht="30" x14ac:dyDescent="0.25">
      <c r="A32" s="183" t="s">
        <v>260</v>
      </c>
      <c r="B32" s="183"/>
      <c r="C32" s="184" t="s">
        <v>524</v>
      </c>
      <c r="D32" s="184" t="s">
        <v>525</v>
      </c>
      <c r="E32" s="184" t="s">
        <v>526</v>
      </c>
      <c r="F32" s="184" t="s">
        <v>527</v>
      </c>
      <c r="G32" s="184" t="s">
        <v>528</v>
      </c>
      <c r="H32" s="184" t="s">
        <v>206</v>
      </c>
      <c r="I32" s="184" t="s">
        <v>529</v>
      </c>
      <c r="J32" s="184" t="s">
        <v>530</v>
      </c>
      <c r="K32" s="185"/>
      <c r="L32" s="185"/>
      <c r="M32" s="185"/>
      <c r="N32" s="185"/>
      <c r="O32" s="185"/>
      <c r="P32" s="185"/>
      <c r="Q32" s="185"/>
      <c r="R32" s="185"/>
      <c r="S32" s="185"/>
      <c r="T32" s="185"/>
      <c r="U32" s="185"/>
      <c r="V32" s="185"/>
      <c r="W32" s="185"/>
      <c r="X32" s="185"/>
      <c r="Y32" s="185"/>
      <c r="Z32" s="185"/>
    </row>
    <row r="33" spans="1:26" customFormat="1" x14ac:dyDescent="0.25">
      <c r="A33" s="185" t="s">
        <v>0</v>
      </c>
      <c r="B33" s="185" t="s">
        <v>0</v>
      </c>
      <c r="C33" s="185" t="s">
        <v>0</v>
      </c>
      <c r="D33" s="185" t="s">
        <v>0</v>
      </c>
      <c r="E33" s="185" t="s">
        <v>0</v>
      </c>
      <c r="F33" s="185" t="s">
        <v>0</v>
      </c>
      <c r="G33" s="185" t="s">
        <v>0</v>
      </c>
      <c r="H33" s="185" t="s">
        <v>0</v>
      </c>
      <c r="I33" s="185" t="s">
        <v>0</v>
      </c>
      <c r="J33" s="185" t="s">
        <v>0</v>
      </c>
      <c r="K33" s="185" t="s">
        <v>0</v>
      </c>
      <c r="L33" s="185"/>
      <c r="M33" s="185"/>
      <c r="N33" s="185"/>
      <c r="O33" s="185"/>
      <c r="P33" s="185"/>
      <c r="Q33" s="185"/>
      <c r="R33" s="185"/>
      <c r="S33" s="185"/>
      <c r="T33" s="185"/>
      <c r="U33" s="185"/>
      <c r="V33" s="185"/>
      <c r="W33" s="185"/>
      <c r="X33" s="185"/>
      <c r="Y33" s="185"/>
      <c r="Z33" s="185"/>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73" t="str">
        <f>'3.4. Паспорт надежность'!A4</f>
        <v>Год раскрытия информации: 2025 год</v>
      </c>
      <c r="B5" s="473"/>
      <c r="C5" s="473"/>
      <c r="D5" s="473"/>
      <c r="E5" s="473"/>
      <c r="F5" s="473"/>
      <c r="G5" s="473"/>
      <c r="H5" s="473"/>
      <c r="I5" s="473"/>
      <c r="J5" s="473"/>
      <c r="K5" s="473"/>
      <c r="L5" s="473"/>
      <c r="M5" s="473"/>
      <c r="N5" s="473"/>
      <c r="O5" s="473"/>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37" t="s">
        <v>7</v>
      </c>
      <c r="B7" s="437"/>
      <c r="C7" s="437"/>
      <c r="D7" s="437"/>
      <c r="E7" s="437"/>
      <c r="F7" s="437"/>
      <c r="G7" s="437"/>
      <c r="H7" s="437"/>
      <c r="I7" s="437"/>
      <c r="J7" s="437"/>
      <c r="K7" s="437"/>
      <c r="L7" s="437"/>
      <c r="M7" s="437"/>
      <c r="N7" s="437"/>
      <c r="O7" s="437"/>
      <c r="P7" s="73"/>
      <c r="Q7" s="73"/>
      <c r="R7" s="73"/>
      <c r="S7" s="73"/>
      <c r="T7" s="73"/>
      <c r="U7" s="73"/>
      <c r="V7" s="73"/>
      <c r="W7" s="73"/>
      <c r="X7" s="73"/>
      <c r="Y7" s="73"/>
      <c r="Z7" s="73"/>
    </row>
    <row r="8" spans="1:28" s="2" customFormat="1" ht="18.75" x14ac:dyDescent="0.2">
      <c r="A8" s="437"/>
      <c r="B8" s="437"/>
      <c r="C8" s="437"/>
      <c r="D8" s="437"/>
      <c r="E8" s="437"/>
      <c r="F8" s="437"/>
      <c r="G8" s="437"/>
      <c r="H8" s="437"/>
      <c r="I8" s="437"/>
      <c r="J8" s="437"/>
      <c r="K8" s="437"/>
      <c r="L8" s="437"/>
      <c r="M8" s="437"/>
      <c r="N8" s="437"/>
      <c r="O8" s="437"/>
      <c r="P8" s="73"/>
      <c r="Q8" s="73"/>
      <c r="R8" s="73"/>
      <c r="S8" s="73"/>
      <c r="T8" s="73"/>
      <c r="U8" s="73"/>
      <c r="V8" s="73"/>
      <c r="W8" s="73"/>
      <c r="X8" s="73"/>
      <c r="Y8" s="73"/>
      <c r="Z8" s="73"/>
    </row>
    <row r="9" spans="1:28" s="2" customFormat="1" ht="18.75" x14ac:dyDescent="0.2">
      <c r="A9" s="439" t="str">
        <f>'3.4. Паспорт надежность'!A8</f>
        <v>Акционерное общество "Россети Янтарь" ДЗО  ПАО "Россети"</v>
      </c>
      <c r="B9" s="439"/>
      <c r="C9" s="439"/>
      <c r="D9" s="439"/>
      <c r="E9" s="439"/>
      <c r="F9" s="439"/>
      <c r="G9" s="439"/>
      <c r="H9" s="439"/>
      <c r="I9" s="439"/>
      <c r="J9" s="439"/>
      <c r="K9" s="439"/>
      <c r="L9" s="439"/>
      <c r="M9" s="439"/>
      <c r="N9" s="439"/>
      <c r="O9" s="439"/>
      <c r="P9" s="73"/>
      <c r="Q9" s="73"/>
      <c r="R9" s="73"/>
      <c r="S9" s="73"/>
      <c r="T9" s="73"/>
      <c r="U9" s="73"/>
      <c r="V9" s="73"/>
      <c r="W9" s="73"/>
      <c r="X9" s="73"/>
      <c r="Y9" s="73"/>
      <c r="Z9" s="73"/>
    </row>
    <row r="10" spans="1:28" s="2" customFormat="1" ht="18.75" x14ac:dyDescent="0.2">
      <c r="A10" s="434" t="s">
        <v>6</v>
      </c>
      <c r="B10" s="434"/>
      <c r="C10" s="434"/>
      <c r="D10" s="434"/>
      <c r="E10" s="434"/>
      <c r="F10" s="434"/>
      <c r="G10" s="434"/>
      <c r="H10" s="434"/>
      <c r="I10" s="434"/>
      <c r="J10" s="434"/>
      <c r="K10" s="434"/>
      <c r="L10" s="434"/>
      <c r="M10" s="434"/>
      <c r="N10" s="434"/>
      <c r="O10" s="434"/>
      <c r="P10" s="73"/>
      <c r="Q10" s="73"/>
      <c r="R10" s="73"/>
      <c r="S10" s="73"/>
      <c r="T10" s="73"/>
      <c r="U10" s="73"/>
      <c r="V10" s="73"/>
      <c r="W10" s="73"/>
      <c r="X10" s="73"/>
      <c r="Y10" s="73"/>
      <c r="Z10" s="73"/>
    </row>
    <row r="11" spans="1:28" s="2" customFormat="1" ht="18.75" x14ac:dyDescent="0.2">
      <c r="A11" s="437"/>
      <c r="B11" s="437"/>
      <c r="C11" s="437"/>
      <c r="D11" s="437"/>
      <c r="E11" s="437"/>
      <c r="F11" s="437"/>
      <c r="G11" s="437"/>
      <c r="H11" s="437"/>
      <c r="I11" s="437"/>
      <c r="J11" s="437"/>
      <c r="K11" s="437"/>
      <c r="L11" s="437"/>
      <c r="M11" s="437"/>
      <c r="N11" s="437"/>
      <c r="O11" s="437"/>
      <c r="P11" s="73"/>
      <c r="Q11" s="73"/>
      <c r="R11" s="73"/>
      <c r="S11" s="73"/>
      <c r="T11" s="73"/>
      <c r="U11" s="73"/>
      <c r="V11" s="73"/>
      <c r="W11" s="73"/>
      <c r="X11" s="73"/>
      <c r="Y11" s="73"/>
      <c r="Z11" s="73"/>
    </row>
    <row r="12" spans="1:28" s="2" customFormat="1" ht="18.75" x14ac:dyDescent="0.2">
      <c r="A12" s="439" t="str">
        <f>'3.4. Паспорт надежность'!A11</f>
        <v>N_21-0947</v>
      </c>
      <c r="B12" s="439"/>
      <c r="C12" s="439"/>
      <c r="D12" s="439"/>
      <c r="E12" s="439"/>
      <c r="F12" s="439"/>
      <c r="G12" s="439"/>
      <c r="H12" s="439"/>
      <c r="I12" s="439"/>
      <c r="J12" s="439"/>
      <c r="K12" s="439"/>
      <c r="L12" s="439"/>
      <c r="M12" s="439"/>
      <c r="N12" s="439"/>
      <c r="O12" s="439"/>
      <c r="P12" s="73"/>
      <c r="Q12" s="73"/>
      <c r="R12" s="73"/>
      <c r="S12" s="73"/>
      <c r="T12" s="73"/>
      <c r="U12" s="73"/>
      <c r="V12" s="73"/>
      <c r="W12" s="73"/>
      <c r="X12" s="73"/>
      <c r="Y12" s="73"/>
      <c r="Z12" s="73"/>
    </row>
    <row r="13" spans="1:28" s="2" customFormat="1" ht="18.75" x14ac:dyDescent="0.2">
      <c r="A13" s="434" t="s">
        <v>5</v>
      </c>
      <c r="B13" s="434"/>
      <c r="C13" s="434"/>
      <c r="D13" s="434"/>
      <c r="E13" s="434"/>
      <c r="F13" s="434"/>
      <c r="G13" s="434"/>
      <c r="H13" s="434"/>
      <c r="I13" s="434"/>
      <c r="J13" s="434"/>
      <c r="K13" s="434"/>
      <c r="L13" s="434"/>
      <c r="M13" s="434"/>
      <c r="N13" s="434"/>
      <c r="O13" s="434"/>
      <c r="P13" s="73"/>
      <c r="Q13" s="73"/>
      <c r="R13" s="73"/>
      <c r="S13" s="73"/>
      <c r="T13" s="73"/>
      <c r="U13" s="73"/>
      <c r="V13" s="73"/>
      <c r="W13" s="73"/>
      <c r="X13" s="73"/>
      <c r="Y13" s="73"/>
      <c r="Z13" s="73"/>
    </row>
    <row r="14" spans="1:28" s="78" customFormat="1" ht="15.75" customHeight="1" x14ac:dyDescent="0.2">
      <c r="A14" s="443"/>
      <c r="B14" s="443"/>
      <c r="C14" s="443"/>
      <c r="D14" s="443"/>
      <c r="E14" s="443"/>
      <c r="F14" s="443"/>
      <c r="G14" s="443"/>
      <c r="H14" s="443"/>
      <c r="I14" s="443"/>
      <c r="J14" s="443"/>
      <c r="K14" s="443"/>
      <c r="L14" s="443"/>
      <c r="M14" s="443"/>
      <c r="N14" s="443"/>
      <c r="O14" s="443"/>
      <c r="P14" s="77"/>
      <c r="Q14" s="77"/>
      <c r="R14" s="77"/>
      <c r="S14" s="77"/>
      <c r="T14" s="77"/>
      <c r="U14" s="77"/>
      <c r="V14" s="77"/>
      <c r="W14" s="77"/>
      <c r="X14" s="77"/>
      <c r="Y14" s="77"/>
      <c r="Z14" s="77"/>
    </row>
    <row r="15" spans="1:28" s="79" customFormat="1" ht="46.5" customHeight="1" x14ac:dyDescent="0.2">
      <c r="A15" s="439" t="str">
        <f>'3.4. Паспорт надежность'!A14</f>
        <v>Строительство ТП 15/0,4 кВ, 2-х ЛЭП 15 кВ от ЗРУ 15 кВ ПС 110 кВ О-10, ЛЭП 0,4 кВ, организация системы учета электроэнергии в г. Зеленоградске, п. Вишневое</v>
      </c>
      <c r="B15" s="439"/>
      <c r="C15" s="439"/>
      <c r="D15" s="439"/>
      <c r="E15" s="439"/>
      <c r="F15" s="439"/>
      <c r="G15" s="439"/>
      <c r="H15" s="439"/>
      <c r="I15" s="439"/>
      <c r="J15" s="439"/>
      <c r="K15" s="439"/>
      <c r="L15" s="439"/>
      <c r="M15" s="439"/>
      <c r="N15" s="439"/>
      <c r="O15" s="439"/>
      <c r="P15" s="75"/>
      <c r="Q15" s="75"/>
      <c r="R15" s="75"/>
      <c r="S15" s="75"/>
      <c r="T15" s="75"/>
      <c r="U15" s="75"/>
      <c r="V15" s="75"/>
      <c r="W15" s="75"/>
      <c r="X15" s="75"/>
      <c r="Y15" s="75"/>
      <c r="Z15" s="75"/>
    </row>
    <row r="16" spans="1:28" s="79" customFormat="1" ht="15" customHeight="1" x14ac:dyDescent="0.2">
      <c r="A16" s="434" t="s">
        <v>4</v>
      </c>
      <c r="B16" s="434"/>
      <c r="C16" s="434"/>
      <c r="D16" s="434"/>
      <c r="E16" s="434"/>
      <c r="F16" s="434"/>
      <c r="G16" s="434"/>
      <c r="H16" s="434"/>
      <c r="I16" s="434"/>
      <c r="J16" s="434"/>
      <c r="K16" s="434"/>
      <c r="L16" s="434"/>
      <c r="M16" s="434"/>
      <c r="N16" s="434"/>
      <c r="O16" s="434"/>
      <c r="P16" s="76"/>
      <c r="Q16" s="76"/>
      <c r="R16" s="76"/>
      <c r="S16" s="76"/>
      <c r="T16" s="76"/>
      <c r="U16" s="76"/>
      <c r="V16" s="76"/>
      <c r="W16" s="76"/>
      <c r="X16" s="76"/>
      <c r="Y16" s="76"/>
      <c r="Z16" s="76"/>
    </row>
    <row r="17" spans="1:26" s="79" customFormat="1" ht="15" customHeight="1" x14ac:dyDescent="0.2">
      <c r="A17" s="440"/>
      <c r="B17" s="440"/>
      <c r="C17" s="440"/>
      <c r="D17" s="440"/>
      <c r="E17" s="440"/>
      <c r="F17" s="440"/>
      <c r="G17" s="440"/>
      <c r="H17" s="440"/>
      <c r="I17" s="440"/>
      <c r="J17" s="440"/>
      <c r="K17" s="440"/>
      <c r="L17" s="440"/>
      <c r="M17" s="440"/>
      <c r="N17" s="440"/>
      <c r="O17" s="440"/>
      <c r="P17" s="80"/>
      <c r="Q17" s="80"/>
      <c r="R17" s="80"/>
      <c r="S17" s="80"/>
      <c r="T17" s="80"/>
      <c r="U17" s="80"/>
      <c r="V17" s="80"/>
      <c r="W17" s="80"/>
    </row>
    <row r="18" spans="1:26" s="79" customFormat="1" ht="91.5" customHeight="1" x14ac:dyDescent="0.2">
      <c r="A18" s="472" t="s">
        <v>356</v>
      </c>
      <c r="B18" s="472"/>
      <c r="C18" s="472"/>
      <c r="D18" s="472"/>
      <c r="E18" s="472"/>
      <c r="F18" s="472"/>
      <c r="G18" s="472"/>
      <c r="H18" s="472"/>
      <c r="I18" s="472"/>
      <c r="J18" s="472"/>
      <c r="K18" s="472"/>
      <c r="L18" s="472"/>
      <c r="M18" s="472"/>
      <c r="N18" s="472"/>
      <c r="O18" s="472"/>
      <c r="P18" s="81"/>
      <c r="Q18" s="81"/>
      <c r="R18" s="81"/>
      <c r="S18" s="81"/>
      <c r="T18" s="81"/>
      <c r="U18" s="81"/>
      <c r="V18" s="81"/>
      <c r="W18" s="81"/>
      <c r="X18" s="81"/>
      <c r="Y18" s="81"/>
      <c r="Z18" s="81"/>
    </row>
    <row r="19" spans="1:26" s="79" customFormat="1" ht="78" customHeight="1" x14ac:dyDescent="0.2">
      <c r="A19" s="474" t="s">
        <v>3</v>
      </c>
      <c r="B19" s="474" t="s">
        <v>82</v>
      </c>
      <c r="C19" s="474" t="s">
        <v>81</v>
      </c>
      <c r="D19" s="474" t="s">
        <v>73</v>
      </c>
      <c r="E19" s="475" t="s">
        <v>80</v>
      </c>
      <c r="F19" s="476"/>
      <c r="G19" s="476"/>
      <c r="H19" s="476"/>
      <c r="I19" s="477"/>
      <c r="J19" s="474" t="s">
        <v>79</v>
      </c>
      <c r="K19" s="474"/>
      <c r="L19" s="474"/>
      <c r="M19" s="474"/>
      <c r="N19" s="474"/>
      <c r="O19" s="474"/>
      <c r="P19" s="80"/>
      <c r="Q19" s="80"/>
      <c r="R19" s="80"/>
      <c r="S19" s="80"/>
      <c r="T19" s="80"/>
      <c r="U19" s="80"/>
      <c r="V19" s="80"/>
      <c r="W19" s="80"/>
    </row>
    <row r="20" spans="1:26" s="79" customFormat="1" ht="51" customHeight="1" x14ac:dyDescent="0.2">
      <c r="A20" s="474"/>
      <c r="B20" s="474"/>
      <c r="C20" s="474"/>
      <c r="D20" s="474"/>
      <c r="E20" s="407" t="s">
        <v>78</v>
      </c>
      <c r="F20" s="407" t="s">
        <v>77</v>
      </c>
      <c r="G20" s="407" t="s">
        <v>76</v>
      </c>
      <c r="H20" s="407" t="s">
        <v>75</v>
      </c>
      <c r="I20" s="407" t="s">
        <v>74</v>
      </c>
      <c r="J20" s="407">
        <v>2023</v>
      </c>
      <c r="K20" s="407">
        <v>2024</v>
      </c>
      <c r="L20" s="407">
        <v>2025</v>
      </c>
      <c r="M20" s="407">
        <v>2026</v>
      </c>
      <c r="N20" s="407">
        <v>2027</v>
      </c>
      <c r="O20" s="407">
        <v>2028</v>
      </c>
      <c r="P20" s="86"/>
      <c r="Q20" s="86"/>
      <c r="R20" s="86"/>
      <c r="S20" s="86"/>
      <c r="T20" s="86"/>
      <c r="U20" s="86"/>
      <c r="V20" s="86"/>
      <c r="W20" s="86"/>
      <c r="X20" s="87"/>
      <c r="Y20" s="87"/>
      <c r="Z20" s="87"/>
    </row>
    <row r="21" spans="1:26" s="79" customFormat="1" ht="16.5" customHeight="1" x14ac:dyDescent="0.2">
      <c r="A21" s="408">
        <v>1</v>
      </c>
      <c r="B21" s="409">
        <v>2</v>
      </c>
      <c r="C21" s="408">
        <v>3</v>
      </c>
      <c r="D21" s="409">
        <v>4</v>
      </c>
      <c r="E21" s="408">
        <v>5</v>
      </c>
      <c r="F21" s="409">
        <v>6</v>
      </c>
      <c r="G21" s="408">
        <v>7</v>
      </c>
      <c r="H21" s="409">
        <v>8</v>
      </c>
      <c r="I21" s="408">
        <v>9</v>
      </c>
      <c r="J21" s="409">
        <v>10</v>
      </c>
      <c r="K21" s="408">
        <v>11</v>
      </c>
      <c r="L21" s="409">
        <v>12</v>
      </c>
      <c r="M21" s="408">
        <v>13</v>
      </c>
      <c r="N21" s="409">
        <v>14</v>
      </c>
      <c r="O21" s="408">
        <v>15</v>
      </c>
      <c r="P21" s="86"/>
      <c r="Q21" s="86"/>
      <c r="R21" s="86"/>
      <c r="S21" s="86"/>
      <c r="T21" s="86"/>
      <c r="U21" s="86"/>
      <c r="V21" s="86"/>
      <c r="W21" s="86"/>
      <c r="X21" s="87"/>
      <c r="Y21" s="87"/>
      <c r="Z21" s="87"/>
    </row>
    <row r="22" spans="1:26" s="115" customFormat="1" ht="33" customHeight="1" x14ac:dyDescent="0.2">
      <c r="A22" s="410" t="s">
        <v>62</v>
      </c>
      <c r="B22" s="411" t="s">
        <v>649</v>
      </c>
      <c r="C22" s="412">
        <v>0</v>
      </c>
      <c r="D22" s="412">
        <v>0</v>
      </c>
      <c r="E22" s="412">
        <v>0</v>
      </c>
      <c r="F22" s="412">
        <v>0</v>
      </c>
      <c r="G22" s="412">
        <v>0</v>
      </c>
      <c r="H22" s="412">
        <v>0</v>
      </c>
      <c r="I22" s="412">
        <v>0</v>
      </c>
      <c r="J22" s="413">
        <v>0</v>
      </c>
      <c r="K22" s="413">
        <v>0</v>
      </c>
      <c r="L22" s="413">
        <v>0</v>
      </c>
      <c r="M22" s="413">
        <v>0</v>
      </c>
      <c r="N22" s="413">
        <v>0</v>
      </c>
      <c r="O22" s="413">
        <v>0</v>
      </c>
      <c r="P22" s="86"/>
      <c r="Q22" s="86"/>
      <c r="R22" s="86"/>
      <c r="S22" s="86"/>
      <c r="T22" s="86"/>
      <c r="U22" s="86"/>
      <c r="V22" s="114"/>
      <c r="W22" s="114"/>
      <c r="X22" s="114"/>
      <c r="Y22" s="114"/>
      <c r="Z22" s="114"/>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13" zoomScale="80" zoomScaleNormal="80" zoomScaleSheetLayoutView="100" workbookViewId="0">
      <selection activeCell="C25" sqref="C25"/>
    </sheetView>
  </sheetViews>
  <sheetFormatPr defaultColWidth="9.140625" defaultRowHeight="15.75" x14ac:dyDescent="0.2"/>
  <cols>
    <col min="1" max="1" width="61.7109375" style="253" customWidth="1"/>
    <col min="2" max="2" width="18.5703125" style="229" customWidth="1"/>
    <col min="3" max="13" width="16.85546875" style="229" customWidth="1"/>
    <col min="14" max="42" width="16.85546875" style="229" hidden="1" customWidth="1"/>
    <col min="43" max="45" width="16.85546875" style="231" hidden="1" customWidth="1"/>
    <col min="46" max="51" width="16.85546875" style="232" customWidth="1"/>
    <col min="52" max="256" width="9.140625" style="232"/>
    <col min="257" max="257" width="61.7109375" style="232" customWidth="1"/>
    <col min="258" max="258" width="18.5703125" style="232" customWidth="1"/>
    <col min="259" max="298" width="16.85546875" style="232" customWidth="1"/>
    <col min="299" max="300" width="18.5703125" style="232" customWidth="1"/>
    <col min="301" max="301" width="21.7109375" style="232" customWidth="1"/>
    <col min="302" max="512" width="9.140625" style="232"/>
    <col min="513" max="513" width="61.7109375" style="232" customWidth="1"/>
    <col min="514" max="514" width="18.5703125" style="232" customWidth="1"/>
    <col min="515" max="554" width="16.85546875" style="232" customWidth="1"/>
    <col min="555" max="556" width="18.5703125" style="232" customWidth="1"/>
    <col min="557" max="557" width="21.7109375" style="232" customWidth="1"/>
    <col min="558" max="768" width="9.140625" style="232"/>
    <col min="769" max="769" width="61.7109375" style="232" customWidth="1"/>
    <col min="770" max="770" width="18.5703125" style="232" customWidth="1"/>
    <col min="771" max="810" width="16.85546875" style="232" customWidth="1"/>
    <col min="811" max="812" width="18.5703125" style="232" customWidth="1"/>
    <col min="813" max="813" width="21.7109375" style="232" customWidth="1"/>
    <col min="814" max="1024" width="9.140625" style="232"/>
    <col min="1025" max="1025" width="61.7109375" style="232" customWidth="1"/>
    <col min="1026" max="1026" width="18.5703125" style="232" customWidth="1"/>
    <col min="1027" max="1066" width="16.85546875" style="232" customWidth="1"/>
    <col min="1067" max="1068" width="18.5703125" style="232" customWidth="1"/>
    <col min="1069" max="1069" width="21.7109375" style="232" customWidth="1"/>
    <col min="1070" max="1280" width="9.140625" style="232"/>
    <col min="1281" max="1281" width="61.7109375" style="232" customWidth="1"/>
    <col min="1282" max="1282" width="18.5703125" style="232" customWidth="1"/>
    <col min="1283" max="1322" width="16.85546875" style="232" customWidth="1"/>
    <col min="1323" max="1324" width="18.5703125" style="232" customWidth="1"/>
    <col min="1325" max="1325" width="21.7109375" style="232" customWidth="1"/>
    <col min="1326" max="1536" width="9.140625" style="232"/>
    <col min="1537" max="1537" width="61.7109375" style="232" customWidth="1"/>
    <col min="1538" max="1538" width="18.5703125" style="232" customWidth="1"/>
    <col min="1539" max="1578" width="16.85546875" style="232" customWidth="1"/>
    <col min="1579" max="1580" width="18.5703125" style="232" customWidth="1"/>
    <col min="1581" max="1581" width="21.7109375" style="232" customWidth="1"/>
    <col min="1582" max="1792" width="9.140625" style="232"/>
    <col min="1793" max="1793" width="61.7109375" style="232" customWidth="1"/>
    <col min="1794" max="1794" width="18.5703125" style="232" customWidth="1"/>
    <col min="1795" max="1834" width="16.85546875" style="232" customWidth="1"/>
    <col min="1835" max="1836" width="18.5703125" style="232" customWidth="1"/>
    <col min="1837" max="1837" width="21.7109375" style="232" customWidth="1"/>
    <col min="1838" max="2048" width="9.140625" style="232"/>
    <col min="2049" max="2049" width="61.7109375" style="232" customWidth="1"/>
    <col min="2050" max="2050" width="18.5703125" style="232" customWidth="1"/>
    <col min="2051" max="2090" width="16.85546875" style="232" customWidth="1"/>
    <col min="2091" max="2092" width="18.5703125" style="232" customWidth="1"/>
    <col min="2093" max="2093" width="21.7109375" style="232" customWidth="1"/>
    <col min="2094" max="2304" width="9.140625" style="232"/>
    <col min="2305" max="2305" width="61.7109375" style="232" customWidth="1"/>
    <col min="2306" max="2306" width="18.5703125" style="232" customWidth="1"/>
    <col min="2307" max="2346" width="16.85546875" style="232" customWidth="1"/>
    <col min="2347" max="2348" width="18.5703125" style="232" customWidth="1"/>
    <col min="2349" max="2349" width="21.7109375" style="232" customWidth="1"/>
    <col min="2350" max="2560" width="9.140625" style="232"/>
    <col min="2561" max="2561" width="61.7109375" style="232" customWidth="1"/>
    <col min="2562" max="2562" width="18.5703125" style="232" customWidth="1"/>
    <col min="2563" max="2602" width="16.85546875" style="232" customWidth="1"/>
    <col min="2603" max="2604" width="18.5703125" style="232" customWidth="1"/>
    <col min="2605" max="2605" width="21.7109375" style="232" customWidth="1"/>
    <col min="2606" max="2816" width="9.140625" style="232"/>
    <col min="2817" max="2817" width="61.7109375" style="232" customWidth="1"/>
    <col min="2818" max="2818" width="18.5703125" style="232" customWidth="1"/>
    <col min="2819" max="2858" width="16.85546875" style="232" customWidth="1"/>
    <col min="2859" max="2860" width="18.5703125" style="232" customWidth="1"/>
    <col min="2861" max="2861" width="21.7109375" style="232" customWidth="1"/>
    <col min="2862" max="3072" width="9.140625" style="232"/>
    <col min="3073" max="3073" width="61.7109375" style="232" customWidth="1"/>
    <col min="3074" max="3074" width="18.5703125" style="232" customWidth="1"/>
    <col min="3075" max="3114" width="16.85546875" style="232" customWidth="1"/>
    <col min="3115" max="3116" width="18.5703125" style="232" customWidth="1"/>
    <col min="3117" max="3117" width="21.7109375" style="232" customWidth="1"/>
    <col min="3118" max="3328" width="9.140625" style="232"/>
    <col min="3329" max="3329" width="61.7109375" style="232" customWidth="1"/>
    <col min="3330" max="3330" width="18.5703125" style="232" customWidth="1"/>
    <col min="3331" max="3370" width="16.85546875" style="232" customWidth="1"/>
    <col min="3371" max="3372" width="18.5703125" style="232" customWidth="1"/>
    <col min="3373" max="3373" width="21.7109375" style="232" customWidth="1"/>
    <col min="3374" max="3584" width="9.140625" style="232"/>
    <col min="3585" max="3585" width="61.7109375" style="232" customWidth="1"/>
    <col min="3586" max="3586" width="18.5703125" style="232" customWidth="1"/>
    <col min="3587" max="3626" width="16.85546875" style="232" customWidth="1"/>
    <col min="3627" max="3628" width="18.5703125" style="232" customWidth="1"/>
    <col min="3629" max="3629" width="21.7109375" style="232" customWidth="1"/>
    <col min="3630" max="3840" width="9.140625" style="232"/>
    <col min="3841" max="3841" width="61.7109375" style="232" customWidth="1"/>
    <col min="3842" max="3842" width="18.5703125" style="232" customWidth="1"/>
    <col min="3843" max="3882" width="16.85546875" style="232" customWidth="1"/>
    <col min="3883" max="3884" width="18.5703125" style="232" customWidth="1"/>
    <col min="3885" max="3885" width="21.7109375" style="232" customWidth="1"/>
    <col min="3886" max="4096" width="9.140625" style="232"/>
    <col min="4097" max="4097" width="61.7109375" style="232" customWidth="1"/>
    <col min="4098" max="4098" width="18.5703125" style="232" customWidth="1"/>
    <col min="4099" max="4138" width="16.85546875" style="232" customWidth="1"/>
    <col min="4139" max="4140" width="18.5703125" style="232" customWidth="1"/>
    <col min="4141" max="4141" width="21.7109375" style="232" customWidth="1"/>
    <col min="4142" max="4352" width="9.140625" style="232"/>
    <col min="4353" max="4353" width="61.7109375" style="232" customWidth="1"/>
    <col min="4354" max="4354" width="18.5703125" style="232" customWidth="1"/>
    <col min="4355" max="4394" width="16.85546875" style="232" customWidth="1"/>
    <col min="4395" max="4396" width="18.5703125" style="232" customWidth="1"/>
    <col min="4397" max="4397" width="21.7109375" style="232" customWidth="1"/>
    <col min="4398" max="4608" width="9.140625" style="232"/>
    <col min="4609" max="4609" width="61.7109375" style="232" customWidth="1"/>
    <col min="4610" max="4610" width="18.5703125" style="232" customWidth="1"/>
    <col min="4611" max="4650" width="16.85546875" style="232" customWidth="1"/>
    <col min="4651" max="4652" width="18.5703125" style="232" customWidth="1"/>
    <col min="4653" max="4653" width="21.7109375" style="232" customWidth="1"/>
    <col min="4654" max="4864" width="9.140625" style="232"/>
    <col min="4865" max="4865" width="61.7109375" style="232" customWidth="1"/>
    <col min="4866" max="4866" width="18.5703125" style="232" customWidth="1"/>
    <col min="4867" max="4906" width="16.85546875" style="232" customWidth="1"/>
    <col min="4907" max="4908" width="18.5703125" style="232" customWidth="1"/>
    <col min="4909" max="4909" width="21.7109375" style="232" customWidth="1"/>
    <col min="4910" max="5120" width="9.140625" style="232"/>
    <col min="5121" max="5121" width="61.7109375" style="232" customWidth="1"/>
    <col min="5122" max="5122" width="18.5703125" style="232" customWidth="1"/>
    <col min="5123" max="5162" width="16.85546875" style="232" customWidth="1"/>
    <col min="5163" max="5164" width="18.5703125" style="232" customWidth="1"/>
    <col min="5165" max="5165" width="21.7109375" style="232" customWidth="1"/>
    <col min="5166" max="5376" width="9.140625" style="232"/>
    <col min="5377" max="5377" width="61.7109375" style="232" customWidth="1"/>
    <col min="5378" max="5378" width="18.5703125" style="232" customWidth="1"/>
    <col min="5379" max="5418" width="16.85546875" style="232" customWidth="1"/>
    <col min="5419" max="5420" width="18.5703125" style="232" customWidth="1"/>
    <col min="5421" max="5421" width="21.7109375" style="232" customWidth="1"/>
    <col min="5422" max="5632" width="9.140625" style="232"/>
    <col min="5633" max="5633" width="61.7109375" style="232" customWidth="1"/>
    <col min="5634" max="5634" width="18.5703125" style="232" customWidth="1"/>
    <col min="5635" max="5674" width="16.85546875" style="232" customWidth="1"/>
    <col min="5675" max="5676" width="18.5703125" style="232" customWidth="1"/>
    <col min="5677" max="5677" width="21.7109375" style="232" customWidth="1"/>
    <col min="5678" max="5888" width="9.140625" style="232"/>
    <col min="5889" max="5889" width="61.7109375" style="232" customWidth="1"/>
    <col min="5890" max="5890" width="18.5703125" style="232" customWidth="1"/>
    <col min="5891" max="5930" width="16.85546875" style="232" customWidth="1"/>
    <col min="5931" max="5932" width="18.5703125" style="232" customWidth="1"/>
    <col min="5933" max="5933" width="21.7109375" style="232" customWidth="1"/>
    <col min="5934" max="6144" width="9.140625" style="232"/>
    <col min="6145" max="6145" width="61.7109375" style="232" customWidth="1"/>
    <col min="6146" max="6146" width="18.5703125" style="232" customWidth="1"/>
    <col min="6147" max="6186" width="16.85546875" style="232" customWidth="1"/>
    <col min="6187" max="6188" width="18.5703125" style="232" customWidth="1"/>
    <col min="6189" max="6189" width="21.7109375" style="232" customWidth="1"/>
    <col min="6190" max="6400" width="9.140625" style="232"/>
    <col min="6401" max="6401" width="61.7109375" style="232" customWidth="1"/>
    <col min="6402" max="6402" width="18.5703125" style="232" customWidth="1"/>
    <col min="6403" max="6442" width="16.85546875" style="232" customWidth="1"/>
    <col min="6443" max="6444" width="18.5703125" style="232" customWidth="1"/>
    <col min="6445" max="6445" width="21.7109375" style="232" customWidth="1"/>
    <col min="6446" max="6656" width="9.140625" style="232"/>
    <col min="6657" max="6657" width="61.7109375" style="232" customWidth="1"/>
    <col min="6658" max="6658" width="18.5703125" style="232" customWidth="1"/>
    <col min="6659" max="6698" width="16.85546875" style="232" customWidth="1"/>
    <col min="6699" max="6700" width="18.5703125" style="232" customWidth="1"/>
    <col min="6701" max="6701" width="21.7109375" style="232" customWidth="1"/>
    <col min="6702" max="6912" width="9.140625" style="232"/>
    <col min="6913" max="6913" width="61.7109375" style="232" customWidth="1"/>
    <col min="6914" max="6914" width="18.5703125" style="232" customWidth="1"/>
    <col min="6915" max="6954" width="16.85546875" style="232" customWidth="1"/>
    <col min="6955" max="6956" width="18.5703125" style="232" customWidth="1"/>
    <col min="6957" max="6957" width="21.7109375" style="232" customWidth="1"/>
    <col min="6958" max="7168" width="9.140625" style="232"/>
    <col min="7169" max="7169" width="61.7109375" style="232" customWidth="1"/>
    <col min="7170" max="7170" width="18.5703125" style="232" customWidth="1"/>
    <col min="7171" max="7210" width="16.85546875" style="232" customWidth="1"/>
    <col min="7211" max="7212" width="18.5703125" style="232" customWidth="1"/>
    <col min="7213" max="7213" width="21.7109375" style="232" customWidth="1"/>
    <col min="7214" max="7424" width="9.140625" style="232"/>
    <col min="7425" max="7425" width="61.7109375" style="232" customWidth="1"/>
    <col min="7426" max="7426" width="18.5703125" style="232" customWidth="1"/>
    <col min="7427" max="7466" width="16.85546875" style="232" customWidth="1"/>
    <col min="7467" max="7468" width="18.5703125" style="232" customWidth="1"/>
    <col min="7469" max="7469" width="21.7109375" style="232" customWidth="1"/>
    <col min="7470" max="7680" width="9.140625" style="232"/>
    <col min="7681" max="7681" width="61.7109375" style="232" customWidth="1"/>
    <col min="7682" max="7682" width="18.5703125" style="232" customWidth="1"/>
    <col min="7683" max="7722" width="16.85546875" style="232" customWidth="1"/>
    <col min="7723" max="7724" width="18.5703125" style="232" customWidth="1"/>
    <col min="7725" max="7725" width="21.7109375" style="232" customWidth="1"/>
    <col min="7726" max="7936" width="9.140625" style="232"/>
    <col min="7937" max="7937" width="61.7109375" style="232" customWidth="1"/>
    <col min="7938" max="7938" width="18.5703125" style="232" customWidth="1"/>
    <col min="7939" max="7978" width="16.85546875" style="232" customWidth="1"/>
    <col min="7979" max="7980" width="18.5703125" style="232" customWidth="1"/>
    <col min="7981" max="7981" width="21.7109375" style="232" customWidth="1"/>
    <col min="7982" max="8192" width="9.140625" style="232"/>
    <col min="8193" max="8193" width="61.7109375" style="232" customWidth="1"/>
    <col min="8194" max="8194" width="18.5703125" style="232" customWidth="1"/>
    <col min="8195" max="8234" width="16.85546875" style="232" customWidth="1"/>
    <col min="8235" max="8236" width="18.5703125" style="232" customWidth="1"/>
    <col min="8237" max="8237" width="21.7109375" style="232" customWidth="1"/>
    <col min="8238" max="8448" width="9.140625" style="232"/>
    <col min="8449" max="8449" width="61.7109375" style="232" customWidth="1"/>
    <col min="8450" max="8450" width="18.5703125" style="232" customWidth="1"/>
    <col min="8451" max="8490" width="16.85546875" style="232" customWidth="1"/>
    <col min="8491" max="8492" width="18.5703125" style="232" customWidth="1"/>
    <col min="8493" max="8493" width="21.7109375" style="232" customWidth="1"/>
    <col min="8494" max="8704" width="9.140625" style="232"/>
    <col min="8705" max="8705" width="61.7109375" style="232" customWidth="1"/>
    <col min="8706" max="8706" width="18.5703125" style="232" customWidth="1"/>
    <col min="8707" max="8746" width="16.85546875" style="232" customWidth="1"/>
    <col min="8747" max="8748" width="18.5703125" style="232" customWidth="1"/>
    <col min="8749" max="8749" width="21.7109375" style="232" customWidth="1"/>
    <col min="8750" max="8960" width="9.140625" style="232"/>
    <col min="8961" max="8961" width="61.7109375" style="232" customWidth="1"/>
    <col min="8962" max="8962" width="18.5703125" style="232" customWidth="1"/>
    <col min="8963" max="9002" width="16.85546875" style="232" customWidth="1"/>
    <col min="9003" max="9004" width="18.5703125" style="232" customWidth="1"/>
    <col min="9005" max="9005" width="21.7109375" style="232" customWidth="1"/>
    <col min="9006" max="9216" width="9.140625" style="232"/>
    <col min="9217" max="9217" width="61.7109375" style="232" customWidth="1"/>
    <col min="9218" max="9218" width="18.5703125" style="232" customWidth="1"/>
    <col min="9219" max="9258" width="16.85546875" style="232" customWidth="1"/>
    <col min="9259" max="9260" width="18.5703125" style="232" customWidth="1"/>
    <col min="9261" max="9261" width="21.7109375" style="232" customWidth="1"/>
    <col min="9262" max="9472" width="9.140625" style="232"/>
    <col min="9473" max="9473" width="61.7109375" style="232" customWidth="1"/>
    <col min="9474" max="9474" width="18.5703125" style="232" customWidth="1"/>
    <col min="9475" max="9514" width="16.85546875" style="232" customWidth="1"/>
    <col min="9515" max="9516" width="18.5703125" style="232" customWidth="1"/>
    <col min="9517" max="9517" width="21.7109375" style="232" customWidth="1"/>
    <col min="9518" max="9728" width="9.140625" style="232"/>
    <col min="9729" max="9729" width="61.7109375" style="232" customWidth="1"/>
    <col min="9730" max="9730" width="18.5703125" style="232" customWidth="1"/>
    <col min="9731" max="9770" width="16.85546875" style="232" customWidth="1"/>
    <col min="9771" max="9772" width="18.5703125" style="232" customWidth="1"/>
    <col min="9773" max="9773" width="21.7109375" style="232" customWidth="1"/>
    <col min="9774" max="9984" width="9.140625" style="232"/>
    <col min="9985" max="9985" width="61.7109375" style="232" customWidth="1"/>
    <col min="9986" max="9986" width="18.5703125" style="232" customWidth="1"/>
    <col min="9987" max="10026" width="16.85546875" style="232" customWidth="1"/>
    <col min="10027" max="10028" width="18.5703125" style="232" customWidth="1"/>
    <col min="10029" max="10029" width="21.7109375" style="232" customWidth="1"/>
    <col min="10030" max="10240" width="9.140625" style="232"/>
    <col min="10241" max="10241" width="61.7109375" style="232" customWidth="1"/>
    <col min="10242" max="10242" width="18.5703125" style="232" customWidth="1"/>
    <col min="10243" max="10282" width="16.85546875" style="232" customWidth="1"/>
    <col min="10283" max="10284" width="18.5703125" style="232" customWidth="1"/>
    <col min="10285" max="10285" width="21.7109375" style="232" customWidth="1"/>
    <col min="10286" max="10496" width="9.140625" style="232"/>
    <col min="10497" max="10497" width="61.7109375" style="232" customWidth="1"/>
    <col min="10498" max="10498" width="18.5703125" style="232" customWidth="1"/>
    <col min="10499" max="10538" width="16.85546875" style="232" customWidth="1"/>
    <col min="10539" max="10540" width="18.5703125" style="232" customWidth="1"/>
    <col min="10541" max="10541" width="21.7109375" style="232" customWidth="1"/>
    <col min="10542" max="10752" width="9.140625" style="232"/>
    <col min="10753" max="10753" width="61.7109375" style="232" customWidth="1"/>
    <col min="10754" max="10754" width="18.5703125" style="232" customWidth="1"/>
    <col min="10755" max="10794" width="16.85546875" style="232" customWidth="1"/>
    <col min="10795" max="10796" width="18.5703125" style="232" customWidth="1"/>
    <col min="10797" max="10797" width="21.7109375" style="232" customWidth="1"/>
    <col min="10798" max="11008" width="9.140625" style="232"/>
    <col min="11009" max="11009" width="61.7109375" style="232" customWidth="1"/>
    <col min="11010" max="11010" width="18.5703125" style="232" customWidth="1"/>
    <col min="11011" max="11050" width="16.85546875" style="232" customWidth="1"/>
    <col min="11051" max="11052" width="18.5703125" style="232" customWidth="1"/>
    <col min="11053" max="11053" width="21.7109375" style="232" customWidth="1"/>
    <col min="11054" max="11264" width="9.140625" style="232"/>
    <col min="11265" max="11265" width="61.7109375" style="232" customWidth="1"/>
    <col min="11266" max="11266" width="18.5703125" style="232" customWidth="1"/>
    <col min="11267" max="11306" width="16.85546875" style="232" customWidth="1"/>
    <col min="11307" max="11308" width="18.5703125" style="232" customWidth="1"/>
    <col min="11309" max="11309" width="21.7109375" style="232" customWidth="1"/>
    <col min="11310" max="11520" width="9.140625" style="232"/>
    <col min="11521" max="11521" width="61.7109375" style="232" customWidth="1"/>
    <col min="11522" max="11522" width="18.5703125" style="232" customWidth="1"/>
    <col min="11523" max="11562" width="16.85546875" style="232" customWidth="1"/>
    <col min="11563" max="11564" width="18.5703125" style="232" customWidth="1"/>
    <col min="11565" max="11565" width="21.7109375" style="232" customWidth="1"/>
    <col min="11566" max="11776" width="9.140625" style="232"/>
    <col min="11777" max="11777" width="61.7109375" style="232" customWidth="1"/>
    <col min="11778" max="11778" width="18.5703125" style="232" customWidth="1"/>
    <col min="11779" max="11818" width="16.85546875" style="232" customWidth="1"/>
    <col min="11819" max="11820" width="18.5703125" style="232" customWidth="1"/>
    <col min="11821" max="11821" width="21.7109375" style="232" customWidth="1"/>
    <col min="11822" max="12032" width="9.140625" style="232"/>
    <col min="12033" max="12033" width="61.7109375" style="232" customWidth="1"/>
    <col min="12034" max="12034" width="18.5703125" style="232" customWidth="1"/>
    <col min="12035" max="12074" width="16.85546875" style="232" customWidth="1"/>
    <col min="12075" max="12076" width="18.5703125" style="232" customWidth="1"/>
    <col min="12077" max="12077" width="21.7109375" style="232" customWidth="1"/>
    <col min="12078" max="12288" width="9.140625" style="232"/>
    <col min="12289" max="12289" width="61.7109375" style="232" customWidth="1"/>
    <col min="12290" max="12290" width="18.5703125" style="232" customWidth="1"/>
    <col min="12291" max="12330" width="16.85546875" style="232" customWidth="1"/>
    <col min="12331" max="12332" width="18.5703125" style="232" customWidth="1"/>
    <col min="12333" max="12333" width="21.7109375" style="232" customWidth="1"/>
    <col min="12334" max="12544" width="9.140625" style="232"/>
    <col min="12545" max="12545" width="61.7109375" style="232" customWidth="1"/>
    <col min="12546" max="12546" width="18.5703125" style="232" customWidth="1"/>
    <col min="12547" max="12586" width="16.85546875" style="232" customWidth="1"/>
    <col min="12587" max="12588" width="18.5703125" style="232" customWidth="1"/>
    <col min="12589" max="12589" width="21.7109375" style="232" customWidth="1"/>
    <col min="12590" max="12800" width="9.140625" style="232"/>
    <col min="12801" max="12801" width="61.7109375" style="232" customWidth="1"/>
    <col min="12802" max="12802" width="18.5703125" style="232" customWidth="1"/>
    <col min="12803" max="12842" width="16.85546875" style="232" customWidth="1"/>
    <col min="12843" max="12844" width="18.5703125" style="232" customWidth="1"/>
    <col min="12845" max="12845" width="21.7109375" style="232" customWidth="1"/>
    <col min="12846" max="13056" width="9.140625" style="232"/>
    <col min="13057" max="13057" width="61.7109375" style="232" customWidth="1"/>
    <col min="13058" max="13058" width="18.5703125" style="232" customWidth="1"/>
    <col min="13059" max="13098" width="16.85546875" style="232" customWidth="1"/>
    <col min="13099" max="13100" width="18.5703125" style="232" customWidth="1"/>
    <col min="13101" max="13101" width="21.7109375" style="232" customWidth="1"/>
    <col min="13102" max="13312" width="9.140625" style="232"/>
    <col min="13313" max="13313" width="61.7109375" style="232" customWidth="1"/>
    <col min="13314" max="13314" width="18.5703125" style="232" customWidth="1"/>
    <col min="13315" max="13354" width="16.85546875" style="232" customWidth="1"/>
    <col min="13355" max="13356" width="18.5703125" style="232" customWidth="1"/>
    <col min="13357" max="13357" width="21.7109375" style="232" customWidth="1"/>
    <col min="13358" max="13568" width="9.140625" style="232"/>
    <col min="13569" max="13569" width="61.7109375" style="232" customWidth="1"/>
    <col min="13570" max="13570" width="18.5703125" style="232" customWidth="1"/>
    <col min="13571" max="13610" width="16.85546875" style="232" customWidth="1"/>
    <col min="13611" max="13612" width="18.5703125" style="232" customWidth="1"/>
    <col min="13613" max="13613" width="21.7109375" style="232" customWidth="1"/>
    <col min="13614" max="13824" width="9.140625" style="232"/>
    <col min="13825" max="13825" width="61.7109375" style="232" customWidth="1"/>
    <col min="13826" max="13826" width="18.5703125" style="232" customWidth="1"/>
    <col min="13827" max="13866" width="16.85546875" style="232" customWidth="1"/>
    <col min="13867" max="13868" width="18.5703125" style="232" customWidth="1"/>
    <col min="13869" max="13869" width="21.7109375" style="232" customWidth="1"/>
    <col min="13870" max="14080" width="9.140625" style="232"/>
    <col min="14081" max="14081" width="61.7109375" style="232" customWidth="1"/>
    <col min="14082" max="14082" width="18.5703125" style="232" customWidth="1"/>
    <col min="14083" max="14122" width="16.85546875" style="232" customWidth="1"/>
    <col min="14123" max="14124" width="18.5703125" style="232" customWidth="1"/>
    <col min="14125" max="14125" width="21.7109375" style="232" customWidth="1"/>
    <col min="14126" max="14336" width="9.140625" style="232"/>
    <col min="14337" max="14337" width="61.7109375" style="232" customWidth="1"/>
    <col min="14338" max="14338" width="18.5703125" style="232" customWidth="1"/>
    <col min="14339" max="14378" width="16.85546875" style="232" customWidth="1"/>
    <col min="14379" max="14380" width="18.5703125" style="232" customWidth="1"/>
    <col min="14381" max="14381" width="21.7109375" style="232" customWidth="1"/>
    <col min="14382" max="14592" width="9.140625" style="232"/>
    <col min="14593" max="14593" width="61.7109375" style="232" customWidth="1"/>
    <col min="14594" max="14594" width="18.5703125" style="232" customWidth="1"/>
    <col min="14595" max="14634" width="16.85546875" style="232" customWidth="1"/>
    <col min="14635" max="14636" width="18.5703125" style="232" customWidth="1"/>
    <col min="14637" max="14637" width="21.7109375" style="232" customWidth="1"/>
    <col min="14638" max="14848" width="9.140625" style="232"/>
    <col min="14849" max="14849" width="61.7109375" style="232" customWidth="1"/>
    <col min="14850" max="14850" width="18.5703125" style="232" customWidth="1"/>
    <col min="14851" max="14890" width="16.85546875" style="232" customWidth="1"/>
    <col min="14891" max="14892" width="18.5703125" style="232" customWidth="1"/>
    <col min="14893" max="14893" width="21.7109375" style="232" customWidth="1"/>
    <col min="14894" max="15104" width="9.140625" style="232"/>
    <col min="15105" max="15105" width="61.7109375" style="232" customWidth="1"/>
    <col min="15106" max="15106" width="18.5703125" style="232" customWidth="1"/>
    <col min="15107" max="15146" width="16.85546875" style="232" customWidth="1"/>
    <col min="15147" max="15148" width="18.5703125" style="232" customWidth="1"/>
    <col min="15149" max="15149" width="21.7109375" style="232" customWidth="1"/>
    <col min="15150" max="15360" width="9.140625" style="232"/>
    <col min="15361" max="15361" width="61.7109375" style="232" customWidth="1"/>
    <col min="15362" max="15362" width="18.5703125" style="232" customWidth="1"/>
    <col min="15363" max="15402" width="16.85546875" style="232" customWidth="1"/>
    <col min="15403" max="15404" width="18.5703125" style="232" customWidth="1"/>
    <col min="15405" max="15405" width="21.7109375" style="232" customWidth="1"/>
    <col min="15406" max="15616" width="9.140625" style="232"/>
    <col min="15617" max="15617" width="61.7109375" style="232" customWidth="1"/>
    <col min="15618" max="15618" width="18.5703125" style="232" customWidth="1"/>
    <col min="15619" max="15658" width="16.85546875" style="232" customWidth="1"/>
    <col min="15659" max="15660" width="18.5703125" style="232" customWidth="1"/>
    <col min="15661" max="15661" width="21.7109375" style="232" customWidth="1"/>
    <col min="15662" max="15872" width="9.140625" style="232"/>
    <col min="15873" max="15873" width="61.7109375" style="232" customWidth="1"/>
    <col min="15874" max="15874" width="18.5703125" style="232" customWidth="1"/>
    <col min="15875" max="15914" width="16.85546875" style="232" customWidth="1"/>
    <col min="15915" max="15916" width="18.5703125" style="232" customWidth="1"/>
    <col min="15917" max="15917" width="21.7109375" style="232" customWidth="1"/>
    <col min="15918" max="16128" width="9.140625" style="232"/>
    <col min="16129" max="16129" width="61.7109375" style="232" customWidth="1"/>
    <col min="16130" max="16130" width="18.5703125" style="232" customWidth="1"/>
    <col min="16131" max="16170" width="16.85546875" style="232" customWidth="1"/>
    <col min="16171" max="16172" width="18.5703125" style="232" customWidth="1"/>
    <col min="16173" max="16173" width="21.7109375" style="232" customWidth="1"/>
    <col min="16174" max="16384" width="9.140625" style="232"/>
  </cols>
  <sheetData>
    <row r="1" spans="1:44" ht="18.75" x14ac:dyDescent="0.2">
      <c r="A1" s="2"/>
      <c r="B1" s="228"/>
      <c r="C1" s="228"/>
      <c r="D1" s="228"/>
      <c r="G1" s="228"/>
      <c r="H1" s="4" t="s">
        <v>66</v>
      </c>
      <c r="I1" s="230"/>
      <c r="J1" s="230"/>
      <c r="K1" s="4"/>
      <c r="L1" s="228"/>
      <c r="M1" s="228"/>
      <c r="N1" s="228"/>
      <c r="O1" s="228"/>
      <c r="P1" s="228"/>
      <c r="Q1" s="228"/>
      <c r="R1" s="228"/>
      <c r="S1" s="228"/>
      <c r="T1" s="228"/>
      <c r="U1" s="228"/>
      <c r="V1" s="228"/>
      <c r="W1" s="228"/>
      <c r="X1" s="228"/>
      <c r="Y1" s="228"/>
      <c r="Z1" s="228"/>
      <c r="AA1" s="228"/>
      <c r="AB1" s="228"/>
      <c r="AC1" s="228"/>
      <c r="AD1" s="228"/>
      <c r="AE1" s="228"/>
      <c r="AF1" s="228"/>
      <c r="AG1" s="228"/>
      <c r="AH1" s="228"/>
      <c r="AI1" s="228"/>
      <c r="AJ1" s="228"/>
      <c r="AK1" s="228"/>
      <c r="AL1" s="228"/>
      <c r="AM1" s="228"/>
      <c r="AN1" s="228"/>
      <c r="AO1" s="228"/>
      <c r="AP1" s="228"/>
    </row>
    <row r="2" spans="1:44" ht="18.75" x14ac:dyDescent="0.3">
      <c r="A2" s="2"/>
      <c r="B2" s="228"/>
      <c r="C2" s="228"/>
      <c r="D2" s="228"/>
      <c r="E2" s="232"/>
      <c r="F2" s="232"/>
      <c r="G2" s="228"/>
      <c r="H2" s="1" t="s">
        <v>8</v>
      </c>
      <c r="I2" s="230"/>
      <c r="J2" s="230"/>
      <c r="K2" s="1"/>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228"/>
      <c r="AN2" s="228"/>
      <c r="AO2" s="228"/>
      <c r="AP2" s="228"/>
      <c r="AQ2" s="233"/>
      <c r="AR2" s="233"/>
    </row>
    <row r="3" spans="1:44" ht="18.75" x14ac:dyDescent="0.3">
      <c r="A3" s="234"/>
      <c r="B3" s="228"/>
      <c r="C3" s="228"/>
      <c r="D3" s="228"/>
      <c r="E3" s="232"/>
      <c r="F3" s="232"/>
      <c r="G3" s="228"/>
      <c r="H3" s="1" t="s">
        <v>256</v>
      </c>
      <c r="I3" s="230"/>
      <c r="J3" s="230"/>
      <c r="K3" s="1"/>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33"/>
      <c r="AR3" s="233"/>
    </row>
    <row r="4" spans="1:44" ht="18.75" x14ac:dyDescent="0.3">
      <c r="A4" s="234"/>
      <c r="B4" s="228"/>
      <c r="C4" s="228"/>
      <c r="D4" s="228"/>
      <c r="E4" s="228"/>
      <c r="F4" s="228"/>
      <c r="G4" s="228"/>
      <c r="H4" s="228"/>
      <c r="I4" s="230"/>
      <c r="J4" s="230"/>
      <c r="K4" s="1"/>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c r="AM4" s="228"/>
      <c r="AN4" s="228"/>
      <c r="AO4" s="228"/>
      <c r="AP4" s="228"/>
      <c r="AQ4" s="235"/>
      <c r="AR4" s="235"/>
    </row>
    <row r="5" spans="1:44" x14ac:dyDescent="0.2">
      <c r="A5" s="493" t="str">
        <f>'1. паспорт местоположение'!A5:C5</f>
        <v>Год раскрытия информации: 2025 год</v>
      </c>
      <c r="B5" s="493"/>
      <c r="C5" s="493"/>
      <c r="D5" s="493"/>
      <c r="E5" s="493"/>
      <c r="F5" s="493"/>
      <c r="G5" s="493"/>
      <c r="H5" s="493"/>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7"/>
      <c r="AR5" s="237"/>
    </row>
    <row r="6" spans="1:44" ht="18.75" x14ac:dyDescent="0.3">
      <c r="A6" s="234"/>
      <c r="B6" s="228"/>
      <c r="C6" s="228"/>
      <c r="D6" s="228"/>
      <c r="E6" s="228"/>
      <c r="F6" s="228"/>
      <c r="G6" s="228"/>
      <c r="H6" s="228"/>
      <c r="I6" s="230"/>
      <c r="J6" s="230"/>
      <c r="K6" s="1"/>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c r="AK6" s="228"/>
      <c r="AL6" s="228"/>
      <c r="AM6" s="228"/>
      <c r="AN6" s="228"/>
      <c r="AO6" s="228"/>
      <c r="AP6" s="228"/>
      <c r="AQ6" s="235"/>
      <c r="AR6" s="235"/>
    </row>
    <row r="7" spans="1:44" ht="18.75" x14ac:dyDescent="0.2">
      <c r="A7" s="494" t="s">
        <v>7</v>
      </c>
      <c r="B7" s="494"/>
      <c r="C7" s="494"/>
      <c r="D7" s="494"/>
      <c r="E7" s="494"/>
      <c r="F7" s="494"/>
      <c r="G7" s="494"/>
      <c r="H7" s="494"/>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9"/>
      <c r="AR7" s="239"/>
    </row>
    <row r="8" spans="1:44" ht="18.75" x14ac:dyDescent="0.2">
      <c r="A8" s="387"/>
      <c r="B8" s="387"/>
      <c r="C8" s="387"/>
      <c r="D8" s="387"/>
      <c r="E8" s="387"/>
      <c r="F8" s="387"/>
      <c r="G8" s="387"/>
      <c r="H8" s="387"/>
      <c r="I8" s="387"/>
      <c r="J8" s="387"/>
      <c r="K8" s="387"/>
      <c r="L8" s="238"/>
      <c r="M8" s="238"/>
      <c r="N8" s="238"/>
      <c r="O8" s="238"/>
      <c r="P8" s="238"/>
      <c r="Q8" s="238"/>
      <c r="R8" s="238"/>
      <c r="S8" s="238"/>
      <c r="T8" s="238"/>
      <c r="U8" s="238"/>
      <c r="V8" s="238"/>
      <c r="W8" s="238"/>
      <c r="X8" s="238"/>
      <c r="Y8" s="238"/>
      <c r="Z8" s="228"/>
      <c r="AA8" s="228"/>
      <c r="AB8" s="228"/>
      <c r="AC8" s="228"/>
      <c r="AD8" s="228"/>
      <c r="AE8" s="228"/>
      <c r="AF8" s="228"/>
      <c r="AG8" s="228"/>
      <c r="AH8" s="228"/>
      <c r="AI8" s="228"/>
      <c r="AJ8" s="228"/>
      <c r="AK8" s="228"/>
      <c r="AL8" s="228"/>
      <c r="AM8" s="228"/>
      <c r="AN8" s="228"/>
      <c r="AO8" s="228"/>
      <c r="AP8" s="228"/>
      <c r="AQ8" s="235"/>
      <c r="AR8" s="235"/>
    </row>
    <row r="9" spans="1:44" ht="18.75" x14ac:dyDescent="0.2">
      <c r="A9" s="495" t="str">
        <f>'1. паспорт местоположение'!A9:C9</f>
        <v>Акционерное общество "Россети Янтарь" ДЗО  ПАО "Россети"</v>
      </c>
      <c r="B9" s="495"/>
      <c r="C9" s="495"/>
      <c r="D9" s="495"/>
      <c r="E9" s="495"/>
      <c r="F9" s="495"/>
      <c r="G9" s="495"/>
      <c r="H9" s="495"/>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c r="AK9" s="240"/>
      <c r="AL9" s="240"/>
      <c r="AM9" s="240"/>
      <c r="AN9" s="240"/>
      <c r="AO9" s="240"/>
      <c r="AP9" s="240"/>
      <c r="AQ9" s="241"/>
      <c r="AR9" s="241"/>
    </row>
    <row r="10" spans="1:44" x14ac:dyDescent="0.2">
      <c r="A10" s="496" t="s">
        <v>6</v>
      </c>
      <c r="B10" s="496"/>
      <c r="C10" s="496"/>
      <c r="D10" s="496"/>
      <c r="E10" s="496"/>
      <c r="F10" s="496"/>
      <c r="G10" s="496"/>
      <c r="H10" s="496"/>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3"/>
      <c r="AR10" s="243"/>
    </row>
    <row r="11" spans="1:44" ht="18.75" x14ac:dyDescent="0.2">
      <c r="A11" s="387"/>
      <c r="B11" s="387"/>
      <c r="C11" s="387"/>
      <c r="D11" s="387"/>
      <c r="E11" s="387"/>
      <c r="F11" s="387"/>
      <c r="G11" s="387"/>
      <c r="H11" s="387"/>
      <c r="I11" s="387"/>
      <c r="J11" s="387"/>
      <c r="K11" s="387"/>
      <c r="L11" s="238"/>
      <c r="M11" s="238"/>
      <c r="N11" s="238"/>
      <c r="O11" s="238"/>
      <c r="P11" s="238"/>
      <c r="Q11" s="238"/>
      <c r="R11" s="238"/>
      <c r="S11" s="238"/>
      <c r="T11" s="238"/>
      <c r="U11" s="238"/>
      <c r="V11" s="238"/>
      <c r="W11" s="238"/>
      <c r="X11" s="238"/>
      <c r="Y11" s="238"/>
      <c r="Z11" s="228"/>
      <c r="AA11" s="228"/>
      <c r="AB11" s="228"/>
      <c r="AC11" s="228"/>
      <c r="AD11" s="228"/>
      <c r="AE11" s="228"/>
      <c r="AF11" s="228"/>
      <c r="AG11" s="228"/>
      <c r="AH11" s="228"/>
      <c r="AI11" s="228"/>
      <c r="AJ11" s="228"/>
      <c r="AK11" s="228"/>
      <c r="AL11" s="228"/>
      <c r="AM11" s="228"/>
      <c r="AN11" s="228"/>
      <c r="AO11" s="228"/>
      <c r="AP11" s="228"/>
      <c r="AQ11" s="235"/>
      <c r="AR11" s="235"/>
    </row>
    <row r="12" spans="1:44" ht="18.75" x14ac:dyDescent="0.2">
      <c r="A12" s="495" t="str">
        <f>'1. паспорт местоположение'!A12:C12</f>
        <v>N_21-0947</v>
      </c>
      <c r="B12" s="495"/>
      <c r="C12" s="495"/>
      <c r="D12" s="495"/>
      <c r="E12" s="495"/>
      <c r="F12" s="495"/>
      <c r="G12" s="495"/>
      <c r="H12" s="495"/>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1"/>
      <c r="AR12" s="241"/>
    </row>
    <row r="13" spans="1:44" x14ac:dyDescent="0.2">
      <c r="A13" s="496" t="s">
        <v>5</v>
      </c>
      <c r="B13" s="496"/>
      <c r="C13" s="496"/>
      <c r="D13" s="496"/>
      <c r="E13" s="496"/>
      <c r="F13" s="496"/>
      <c r="G13" s="496"/>
      <c r="H13" s="496"/>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3"/>
      <c r="AR13" s="243"/>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244"/>
      <c r="AA14" s="244"/>
      <c r="AB14" s="244"/>
      <c r="AC14" s="244"/>
      <c r="AD14" s="244"/>
      <c r="AE14" s="244"/>
      <c r="AF14" s="244"/>
      <c r="AG14" s="244"/>
      <c r="AH14" s="244"/>
      <c r="AI14" s="244"/>
      <c r="AJ14" s="244"/>
      <c r="AK14" s="244"/>
      <c r="AL14" s="244"/>
      <c r="AM14" s="244"/>
      <c r="AN14" s="244"/>
      <c r="AO14" s="244"/>
      <c r="AP14" s="244"/>
      <c r="AQ14" s="245"/>
      <c r="AR14" s="245"/>
    </row>
    <row r="15" spans="1:44" ht="18.75" x14ac:dyDescent="0.2">
      <c r="A15" s="497" t="str">
        <f>'1. паспорт местоположение'!A15:C15</f>
        <v>Строительство ТП 15/0,4 кВ, 2-х ЛЭП 15 кВ от ЗРУ 15 кВ ПС 110 кВ О-10, ЛЭП 0,4 кВ, организация системы учета электроэнергии в г. Зеленоградске, п. Вишневое</v>
      </c>
      <c r="B15" s="498"/>
      <c r="C15" s="498"/>
      <c r="D15" s="498"/>
      <c r="E15" s="498"/>
      <c r="F15" s="498"/>
      <c r="G15" s="498"/>
      <c r="H15" s="498"/>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1"/>
      <c r="AR15" s="241"/>
    </row>
    <row r="16" spans="1:44" x14ac:dyDescent="0.2">
      <c r="A16" s="496" t="s">
        <v>4</v>
      </c>
      <c r="B16" s="496"/>
      <c r="C16" s="496"/>
      <c r="D16" s="496"/>
      <c r="E16" s="496"/>
      <c r="F16" s="496"/>
      <c r="G16" s="496"/>
      <c r="H16" s="496"/>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3"/>
      <c r="AR16" s="243"/>
    </row>
    <row r="17" spans="1:44" ht="18.75" x14ac:dyDescent="0.2">
      <c r="A17" s="246"/>
      <c r="B17" s="246"/>
      <c r="C17" s="246"/>
      <c r="D17" s="246"/>
      <c r="E17" s="246"/>
      <c r="F17" s="246"/>
      <c r="G17" s="246"/>
      <c r="H17" s="246"/>
      <c r="I17" s="246"/>
      <c r="J17" s="246"/>
      <c r="K17" s="246"/>
      <c r="L17" s="246"/>
      <c r="M17" s="246"/>
      <c r="N17" s="246"/>
      <c r="O17" s="246"/>
      <c r="P17" s="246"/>
      <c r="Q17" s="246"/>
      <c r="R17" s="246"/>
      <c r="S17" s="246"/>
      <c r="T17" s="246"/>
      <c r="U17" s="246"/>
      <c r="V17" s="246"/>
      <c r="W17" s="247"/>
      <c r="X17" s="247"/>
      <c r="Y17" s="247"/>
      <c r="Z17" s="247"/>
      <c r="AA17" s="247"/>
      <c r="AB17" s="247"/>
      <c r="AC17" s="247"/>
      <c r="AD17" s="247"/>
      <c r="AE17" s="247"/>
      <c r="AF17" s="247"/>
      <c r="AG17" s="247"/>
      <c r="AH17" s="247"/>
      <c r="AI17" s="247"/>
      <c r="AJ17" s="247"/>
      <c r="AK17" s="247"/>
      <c r="AL17" s="247"/>
      <c r="AM17" s="247"/>
      <c r="AN17" s="247"/>
      <c r="AO17" s="247"/>
      <c r="AP17" s="247"/>
      <c r="AQ17" s="248"/>
      <c r="AR17" s="248"/>
    </row>
    <row r="18" spans="1:44" ht="18.75" x14ac:dyDescent="0.2">
      <c r="A18" s="495" t="s">
        <v>357</v>
      </c>
      <c r="B18" s="495"/>
      <c r="C18" s="495"/>
      <c r="D18" s="495"/>
      <c r="E18" s="495"/>
      <c r="F18" s="495"/>
      <c r="G18" s="495"/>
      <c r="H18" s="495"/>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50"/>
      <c r="AR18" s="250"/>
    </row>
    <row r="19" spans="1:44" x14ac:dyDescent="0.2">
      <c r="A19" s="251"/>
      <c r="Q19" s="252"/>
    </row>
    <row r="20" spans="1:44" x14ac:dyDescent="0.2">
      <c r="A20" s="251"/>
      <c r="Q20" s="252"/>
    </row>
    <row r="21" spans="1:44" x14ac:dyDescent="0.2">
      <c r="A21" s="251"/>
      <c r="Q21" s="252"/>
    </row>
    <row r="22" spans="1:44" x14ac:dyDescent="0.2">
      <c r="A22" s="251"/>
      <c r="Q22" s="252"/>
    </row>
    <row r="23" spans="1:44" x14ac:dyDescent="0.2">
      <c r="D23" s="254"/>
      <c r="Q23" s="252"/>
    </row>
    <row r="24" spans="1:44" ht="16.5" thickBot="1" x14ac:dyDescent="0.25">
      <c r="A24" s="255" t="s">
        <v>255</v>
      </c>
      <c r="B24" s="256" t="s">
        <v>1</v>
      </c>
      <c r="D24" s="257"/>
      <c r="E24" s="258"/>
      <c r="F24" s="258"/>
      <c r="G24" s="258"/>
      <c r="H24" s="258"/>
    </row>
    <row r="25" spans="1:44" x14ac:dyDescent="0.2">
      <c r="A25" s="259" t="s">
        <v>390</v>
      </c>
      <c r="B25" s="260">
        <f>$B$126/1.2</f>
        <v>63384300.683333345</v>
      </c>
    </row>
    <row r="26" spans="1:44" x14ac:dyDescent="0.2">
      <c r="A26" s="261" t="s">
        <v>253</v>
      </c>
      <c r="B26" s="336">
        <v>0</v>
      </c>
    </row>
    <row r="27" spans="1:44" x14ac:dyDescent="0.2">
      <c r="A27" s="261" t="s">
        <v>251</v>
      </c>
      <c r="B27" s="336">
        <f>$B$123</f>
        <v>30</v>
      </c>
      <c r="D27" s="254" t="s">
        <v>254</v>
      </c>
    </row>
    <row r="28" spans="1:44" ht="16.149999999999999" customHeight="1" thickBot="1" x14ac:dyDescent="0.25">
      <c r="A28" s="262" t="s">
        <v>249</v>
      </c>
      <c r="B28" s="263">
        <v>1</v>
      </c>
      <c r="D28" s="483" t="s">
        <v>252</v>
      </c>
      <c r="E28" s="484"/>
      <c r="F28" s="485"/>
      <c r="G28" s="486">
        <f>IF(SUM(B89:L89)=0,"не окупается",SUM(B89:L89))</f>
        <v>3.0472325838875269</v>
      </c>
      <c r="H28" s="487"/>
    </row>
    <row r="29" spans="1:44" ht="15.6" customHeight="1" x14ac:dyDescent="0.2">
      <c r="A29" s="259" t="s">
        <v>248</v>
      </c>
      <c r="B29" s="260">
        <f>$B$126*$B$127</f>
        <v>2281834.8245999999</v>
      </c>
      <c r="D29" s="483" t="s">
        <v>250</v>
      </c>
      <c r="E29" s="484"/>
      <c r="F29" s="485"/>
      <c r="G29" s="486" t="str">
        <f>IF(SUM(B90:L90)=0,"не окупается",SUM(B90:L90))</f>
        <v>не окупается</v>
      </c>
      <c r="H29" s="487"/>
    </row>
    <row r="30" spans="1:44" ht="27.6" customHeight="1" x14ac:dyDescent="0.2">
      <c r="A30" s="261" t="s">
        <v>391</v>
      </c>
      <c r="B30" s="336">
        <v>6</v>
      </c>
      <c r="D30" s="483" t="s">
        <v>539</v>
      </c>
      <c r="E30" s="484"/>
      <c r="F30" s="485"/>
      <c r="G30" s="488">
        <f>L87</f>
        <v>149284701.79982895</v>
      </c>
      <c r="H30" s="489"/>
    </row>
    <row r="31" spans="1:44" x14ac:dyDescent="0.2">
      <c r="A31" s="261" t="s">
        <v>247</v>
      </c>
      <c r="B31" s="336">
        <v>6</v>
      </c>
      <c r="D31" s="490"/>
      <c r="E31" s="491"/>
      <c r="F31" s="492"/>
      <c r="G31" s="490"/>
      <c r="H31" s="492"/>
    </row>
    <row r="32" spans="1:44" x14ac:dyDescent="0.2">
      <c r="A32" s="261" t="s">
        <v>226</v>
      </c>
      <c r="B32" s="336"/>
    </row>
    <row r="33" spans="1:42" x14ac:dyDescent="0.2">
      <c r="A33" s="261" t="s">
        <v>246</v>
      </c>
      <c r="B33" s="336"/>
    </row>
    <row r="34" spans="1:42" x14ac:dyDescent="0.2">
      <c r="A34" s="261" t="s">
        <v>245</v>
      </c>
      <c r="B34" s="336"/>
    </row>
    <row r="35" spans="1:42" x14ac:dyDescent="0.2">
      <c r="A35" s="337"/>
      <c r="B35" s="336"/>
    </row>
    <row r="36" spans="1:42" ht="16.5" thickBot="1" x14ac:dyDescent="0.25">
      <c r="A36" s="262" t="s">
        <v>220</v>
      </c>
      <c r="B36" s="264">
        <v>0.2</v>
      </c>
    </row>
    <row r="37" spans="1:42" x14ac:dyDescent="0.2">
      <c r="A37" s="259" t="s">
        <v>389</v>
      </c>
      <c r="B37" s="260">
        <v>0</v>
      </c>
    </row>
    <row r="38" spans="1:42" x14ac:dyDescent="0.2">
      <c r="A38" s="261" t="s">
        <v>244</v>
      </c>
      <c r="B38" s="336"/>
    </row>
    <row r="39" spans="1:42" ht="16.5" thickBot="1" x14ac:dyDescent="0.25">
      <c r="A39" s="338" t="s">
        <v>243</v>
      </c>
      <c r="B39" s="339"/>
    </row>
    <row r="40" spans="1:42" x14ac:dyDescent="0.2">
      <c r="A40" s="265" t="s">
        <v>392</v>
      </c>
      <c r="B40" s="266">
        <v>1</v>
      </c>
    </row>
    <row r="41" spans="1:42" x14ac:dyDescent="0.2">
      <c r="A41" s="267" t="s">
        <v>242</v>
      </c>
      <c r="B41" s="268"/>
    </row>
    <row r="42" spans="1:42" x14ac:dyDescent="0.2">
      <c r="A42" s="267" t="s">
        <v>241</v>
      </c>
      <c r="B42" s="269"/>
    </row>
    <row r="43" spans="1:42" x14ac:dyDescent="0.2">
      <c r="A43" s="267" t="s">
        <v>240</v>
      </c>
      <c r="B43" s="269">
        <v>0</v>
      </c>
    </row>
    <row r="44" spans="1:42" x14ac:dyDescent="0.2">
      <c r="A44" s="267" t="s">
        <v>239</v>
      </c>
      <c r="B44" s="269">
        <f>B129</f>
        <v>0.1197</v>
      </c>
    </row>
    <row r="45" spans="1:42" x14ac:dyDescent="0.2">
      <c r="A45" s="267" t="s">
        <v>238</v>
      </c>
      <c r="B45" s="269">
        <f>1-B43</f>
        <v>1</v>
      </c>
    </row>
    <row r="46" spans="1:42" ht="16.5" thickBot="1" x14ac:dyDescent="0.25">
      <c r="A46" s="340" t="s">
        <v>540</v>
      </c>
      <c r="B46" s="341">
        <f>B45*B44+B43*B42*(1-B36)</f>
        <v>0.1197</v>
      </c>
      <c r="C46" s="270"/>
    </row>
    <row r="47" spans="1:42" s="273" customFormat="1" x14ac:dyDescent="0.2">
      <c r="A47" s="271" t="s">
        <v>237</v>
      </c>
      <c r="B47" s="272">
        <f>B58</f>
        <v>1</v>
      </c>
      <c r="C47" s="272">
        <f t="shared" ref="C47:AO47" si="0">C58</f>
        <v>2</v>
      </c>
      <c r="D47" s="272">
        <f t="shared" si="0"/>
        <v>3</v>
      </c>
      <c r="E47" s="272">
        <f t="shared" si="0"/>
        <v>4</v>
      </c>
      <c r="F47" s="272">
        <f t="shared" si="0"/>
        <v>5</v>
      </c>
      <c r="G47" s="272">
        <f t="shared" si="0"/>
        <v>6</v>
      </c>
      <c r="H47" s="272">
        <f t="shared" si="0"/>
        <v>7</v>
      </c>
      <c r="I47" s="272">
        <f t="shared" si="0"/>
        <v>8</v>
      </c>
      <c r="J47" s="272">
        <f t="shared" si="0"/>
        <v>9</v>
      </c>
      <c r="K47" s="272">
        <f t="shared" si="0"/>
        <v>10</v>
      </c>
      <c r="L47" s="272">
        <f t="shared" si="0"/>
        <v>11</v>
      </c>
      <c r="M47" s="272">
        <f t="shared" si="0"/>
        <v>12</v>
      </c>
      <c r="N47" s="272">
        <f t="shared" si="0"/>
        <v>13</v>
      </c>
      <c r="O47" s="272">
        <f t="shared" si="0"/>
        <v>14</v>
      </c>
      <c r="P47" s="272">
        <f t="shared" si="0"/>
        <v>15</v>
      </c>
      <c r="Q47" s="272">
        <f t="shared" si="0"/>
        <v>16</v>
      </c>
      <c r="R47" s="272">
        <f t="shared" si="0"/>
        <v>17</v>
      </c>
      <c r="S47" s="272">
        <f t="shared" si="0"/>
        <v>18</v>
      </c>
      <c r="T47" s="272">
        <f t="shared" si="0"/>
        <v>19</v>
      </c>
      <c r="U47" s="272">
        <f t="shared" si="0"/>
        <v>20</v>
      </c>
      <c r="V47" s="272">
        <f t="shared" si="0"/>
        <v>21</v>
      </c>
      <c r="W47" s="272">
        <f t="shared" si="0"/>
        <v>22</v>
      </c>
      <c r="X47" s="272">
        <f t="shared" si="0"/>
        <v>23</v>
      </c>
      <c r="Y47" s="272">
        <f t="shared" si="0"/>
        <v>24</v>
      </c>
      <c r="Z47" s="272">
        <f t="shared" si="0"/>
        <v>25</v>
      </c>
      <c r="AA47" s="272">
        <f t="shared" si="0"/>
        <v>26</v>
      </c>
      <c r="AB47" s="272">
        <f t="shared" si="0"/>
        <v>27</v>
      </c>
      <c r="AC47" s="272">
        <f t="shared" si="0"/>
        <v>28</v>
      </c>
      <c r="AD47" s="272">
        <f t="shared" si="0"/>
        <v>29</v>
      </c>
      <c r="AE47" s="272">
        <f t="shared" si="0"/>
        <v>30</v>
      </c>
      <c r="AF47" s="272">
        <f t="shared" si="0"/>
        <v>31</v>
      </c>
      <c r="AG47" s="272">
        <f t="shared" si="0"/>
        <v>32</v>
      </c>
      <c r="AH47" s="272">
        <f t="shared" si="0"/>
        <v>33</v>
      </c>
      <c r="AI47" s="272">
        <f t="shared" si="0"/>
        <v>34</v>
      </c>
      <c r="AJ47" s="272">
        <f t="shared" si="0"/>
        <v>35</v>
      </c>
      <c r="AK47" s="272">
        <f t="shared" si="0"/>
        <v>36</v>
      </c>
      <c r="AL47" s="272">
        <f t="shared" si="0"/>
        <v>37</v>
      </c>
      <c r="AM47" s="272">
        <f t="shared" si="0"/>
        <v>38</v>
      </c>
      <c r="AN47" s="272">
        <f t="shared" si="0"/>
        <v>39</v>
      </c>
      <c r="AO47" s="272">
        <f t="shared" si="0"/>
        <v>40</v>
      </c>
      <c r="AP47" s="272">
        <f>AP58</f>
        <v>41</v>
      </c>
    </row>
    <row r="48" spans="1:42" s="273" customFormat="1" x14ac:dyDescent="0.2">
      <c r="A48" s="274" t="s">
        <v>236</v>
      </c>
      <c r="B48" s="342">
        <f>J136</f>
        <v>4.4208979893394937E-2</v>
      </c>
      <c r="C48" s="342">
        <f t="shared" ref="C48:AP48" si="1">K136</f>
        <v>4.4208979893394937E-2</v>
      </c>
      <c r="D48" s="342">
        <f t="shared" si="1"/>
        <v>4.4208979893394937E-2</v>
      </c>
      <c r="E48" s="342">
        <f t="shared" si="1"/>
        <v>4.4208979893394937E-2</v>
      </c>
      <c r="F48" s="342">
        <f t="shared" si="1"/>
        <v>4.4208979893394937E-2</v>
      </c>
      <c r="G48" s="342">
        <f t="shared" si="1"/>
        <v>4.4208979893394937E-2</v>
      </c>
      <c r="H48" s="342">
        <f t="shared" si="1"/>
        <v>4.4208979893394937E-2</v>
      </c>
      <c r="I48" s="342">
        <f t="shared" si="1"/>
        <v>4.4208979893394937E-2</v>
      </c>
      <c r="J48" s="342">
        <f t="shared" si="1"/>
        <v>4.4208979893394937E-2</v>
      </c>
      <c r="K48" s="342">
        <f t="shared" si="1"/>
        <v>4.4208979893394937E-2</v>
      </c>
      <c r="L48" s="342">
        <f t="shared" si="1"/>
        <v>4.4208979893394937E-2</v>
      </c>
      <c r="M48" s="342">
        <f t="shared" si="1"/>
        <v>4.4208979893394937E-2</v>
      </c>
      <c r="N48" s="342">
        <f t="shared" si="1"/>
        <v>4.4208979893394937E-2</v>
      </c>
      <c r="O48" s="342">
        <f t="shared" si="1"/>
        <v>4.4208979893394937E-2</v>
      </c>
      <c r="P48" s="342">
        <f t="shared" si="1"/>
        <v>4.4208979893394937E-2</v>
      </c>
      <c r="Q48" s="342">
        <f t="shared" si="1"/>
        <v>4.4208979893394937E-2</v>
      </c>
      <c r="R48" s="342">
        <f t="shared" si="1"/>
        <v>4.4208979893394937E-2</v>
      </c>
      <c r="S48" s="342">
        <f t="shared" si="1"/>
        <v>4.4208979893394937E-2</v>
      </c>
      <c r="T48" s="342">
        <f t="shared" si="1"/>
        <v>4.4208979893394937E-2</v>
      </c>
      <c r="U48" s="342">
        <f t="shared" si="1"/>
        <v>4.4208979893394937E-2</v>
      </c>
      <c r="V48" s="342">
        <f t="shared" si="1"/>
        <v>4.4208979893394937E-2</v>
      </c>
      <c r="W48" s="342">
        <f t="shared" si="1"/>
        <v>4.4208979893394937E-2</v>
      </c>
      <c r="X48" s="342">
        <f t="shared" si="1"/>
        <v>4.4208979893394937E-2</v>
      </c>
      <c r="Y48" s="342">
        <f t="shared" si="1"/>
        <v>4.4208979893394937E-2</v>
      </c>
      <c r="Z48" s="342">
        <f t="shared" si="1"/>
        <v>4.4208979893394937E-2</v>
      </c>
      <c r="AA48" s="342">
        <f t="shared" si="1"/>
        <v>4.4208979893394937E-2</v>
      </c>
      <c r="AB48" s="342">
        <f t="shared" si="1"/>
        <v>4.4208979893394937E-2</v>
      </c>
      <c r="AC48" s="342">
        <f t="shared" si="1"/>
        <v>4.4208979893394937E-2</v>
      </c>
      <c r="AD48" s="342">
        <f t="shared" si="1"/>
        <v>4.4208979893394937E-2</v>
      </c>
      <c r="AE48" s="342">
        <f t="shared" si="1"/>
        <v>4.4208979893394937E-2</v>
      </c>
      <c r="AF48" s="342">
        <f t="shared" si="1"/>
        <v>4.4208979893394937E-2</v>
      </c>
      <c r="AG48" s="342">
        <f t="shared" si="1"/>
        <v>4.4208979893394937E-2</v>
      </c>
      <c r="AH48" s="342">
        <f t="shared" si="1"/>
        <v>4.4208979893394937E-2</v>
      </c>
      <c r="AI48" s="342">
        <f t="shared" si="1"/>
        <v>4.4208979893394937E-2</v>
      </c>
      <c r="AJ48" s="342">
        <f t="shared" si="1"/>
        <v>4.4208979893394937E-2</v>
      </c>
      <c r="AK48" s="342">
        <f t="shared" si="1"/>
        <v>4.4208979893394937E-2</v>
      </c>
      <c r="AL48" s="342">
        <f t="shared" si="1"/>
        <v>4.4208979893394937E-2</v>
      </c>
      <c r="AM48" s="342">
        <f t="shared" si="1"/>
        <v>4.4208979893394937E-2</v>
      </c>
      <c r="AN48" s="342">
        <f t="shared" si="1"/>
        <v>4.4208979893394937E-2</v>
      </c>
      <c r="AO48" s="342">
        <f t="shared" si="1"/>
        <v>4.4208979893394937E-2</v>
      </c>
      <c r="AP48" s="342">
        <f t="shared" si="1"/>
        <v>4.4208979893394937E-2</v>
      </c>
    </row>
    <row r="49" spans="1:45" s="273" customFormat="1" x14ac:dyDescent="0.2">
      <c r="A49" s="274" t="s">
        <v>235</v>
      </c>
      <c r="B49" s="342">
        <f>H137</f>
        <v>0.53819453736905887</v>
      </c>
      <c r="C49" s="342">
        <f t="shared" ref="C49:AP49" si="2">I137</f>
        <v>0.60619654874373752</v>
      </c>
      <c r="D49" s="342">
        <f t="shared" si="2"/>
        <v>0.67720485967198973</v>
      </c>
      <c r="E49" s="342">
        <f t="shared" si="2"/>
        <v>0.75135237559033285</v>
      </c>
      <c r="F49" s="342">
        <f t="shared" si="2"/>
        <v>0.8287778775490553</v>
      </c>
      <c r="G49" s="342">
        <f t="shared" si="2"/>
        <v>0.90962628196710682</v>
      </c>
      <c r="H49" s="342">
        <f t="shared" si="2"/>
        <v>0.99404891187048916</v>
      </c>
      <c r="I49" s="342">
        <f t="shared" si="2"/>
        <v>1.0822037801218176</v>
      </c>
      <c r="J49" s="342">
        <f t="shared" si="2"/>
        <v>1.1742558851711737</v>
      </c>
      <c r="K49" s="342">
        <f t="shared" si="2"/>
        <v>1.2703775198818015</v>
      </c>
      <c r="L49" s="342">
        <f t="shared" si="2"/>
        <v>1.3707485940086719</v>
      </c>
      <c r="M49" s="342">
        <f t="shared" si="2"/>
        <v>1.4755569709334955</v>
      </c>
      <c r="N49" s="342">
        <f t="shared" si="2"/>
        <v>1.5849988192864481</v>
      </c>
      <c r="O49" s="342">
        <f t="shared" si="2"/>
        <v>1.6992789801127324</v>
      </c>
      <c r="P49" s="342">
        <f t="shared" si="2"/>
        <v>1.8186113502711998</v>
      </c>
      <c r="Q49" s="342">
        <f t="shared" si="2"/>
        <v>1.9432192827826338</v>
      </c>
      <c r="R49" s="342">
        <f t="shared" si="2"/>
        <v>2.0733360048770235</v>
      </c>
      <c r="S49" s="342">
        <f t="shared" si="2"/>
        <v>2.2092050545222786</v>
      </c>
      <c r="T49" s="342">
        <f t="shared" si="2"/>
        <v>2.3510807362514354</v>
      </c>
      <c r="U49" s="342">
        <f t="shared" si="2"/>
        <v>2.499228597141518</v>
      </c>
      <c r="V49" s="342">
        <f t="shared" si="2"/>
        <v>2.6539259238349397</v>
      </c>
      <c r="W49" s="342">
        <f t="shared" si="2"/>
        <v>2.815462261533713</v>
      </c>
      <c r="X49" s="342">
        <f t="shared" si="2"/>
        <v>2.9841399559378639</v>
      </c>
      <c r="Y49" s="342">
        <f t="shared" si="2"/>
        <v>3.1602747191423921</v>
      </c>
      <c r="Z49" s="342">
        <f t="shared" si="2"/>
        <v>3.3441962205519573</v>
      </c>
      <c r="AA49" s="342">
        <f t="shared" si="2"/>
        <v>3.5362487039193011</v>
      </c>
      <c r="AB49" s="342">
        <f t="shared" si="2"/>
        <v>3.7367916316623084</v>
      </c>
      <c r="AC49" s="342">
        <f t="shared" si="2"/>
        <v>3.9462003576656688</v>
      </c>
      <c r="AD49" s="342">
        <f t="shared" si="2"/>
        <v>4.1648668298264129</v>
      </c>
      <c r="AE49" s="342">
        <f t="shared" si="2"/>
        <v>4.3932003236582711</v>
      </c>
      <c r="AF49" s="342">
        <f t="shared" si="2"/>
        <v>4.6316282083279301</v>
      </c>
      <c r="AG49" s="342">
        <f t="shared" si="2"/>
        <v>4.8805967465569751</v>
      </c>
      <c r="AH49" s="342">
        <f t="shared" si="2"/>
        <v>5.1405719298866757</v>
      </c>
      <c r="AI49" s="342">
        <f t="shared" si="2"/>
        <v>5.4120403508689812</v>
      </c>
      <c r="AJ49" s="342">
        <f t="shared" si="2"/>
        <v>5.6955101138161845</v>
      </c>
      <c r="AK49" s="342">
        <f t="shared" si="2"/>
        <v>5.9915117858139064</v>
      </c>
      <c r="AL49" s="342">
        <f t="shared" si="2"/>
        <v>6.3005993897773864</v>
      </c>
      <c r="AM49" s="342">
        <f t="shared" si="2"/>
        <v>6.6233514414097856</v>
      </c>
      <c r="AN49" s="342">
        <f t="shared" si="2"/>
        <v>6.9603720320033542</v>
      </c>
      <c r="AO49" s="342">
        <f t="shared" si="2"/>
        <v>7.3122919591101336</v>
      </c>
      <c r="AP49" s="342">
        <f t="shared" si="2"/>
        <v>7.6797699071984624</v>
      </c>
    </row>
    <row r="50" spans="1:45" s="273" customFormat="1" ht="16.5" thickBot="1" x14ac:dyDescent="0.25">
      <c r="A50" s="275" t="s">
        <v>393</v>
      </c>
      <c r="B50" s="276">
        <f>IF($B$124="да",($B$128-0.05)*1000000,0)</f>
        <v>65227327.160000004</v>
      </c>
      <c r="C50" s="276">
        <f>C108*(1+C49)</f>
        <v>0</v>
      </c>
      <c r="D50" s="276">
        <f t="shared" ref="D50:AP50" si="3">D108*(1+D49)</f>
        <v>12046705.540915841</v>
      </c>
      <c r="E50" s="276">
        <f t="shared" si="3"/>
        <v>27365898.64538531</v>
      </c>
      <c r="F50" s="276">
        <f t="shared" si="3"/>
        <v>45520109.250314817</v>
      </c>
      <c r="G50" s="276">
        <f t="shared" si="3"/>
        <v>49161049.551383667</v>
      </c>
      <c r="H50" s="276">
        <f t="shared" si="3"/>
        <v>53387792.276687615</v>
      </c>
      <c r="I50" s="276">
        <f t="shared" si="3"/>
        <v>55748012.112000443</v>
      </c>
      <c r="J50" s="276">
        <f t="shared" si="3"/>
        <v>58212574.858556598</v>
      </c>
      <c r="K50" s="276">
        <f t="shared" si="3"/>
        <v>60786093.410021268</v>
      </c>
      <c r="L50" s="276">
        <f t="shared" si="3"/>
        <v>63473384.591382928</v>
      </c>
      <c r="M50" s="276">
        <f t="shared" si="3"/>
        <v>66279478.174549095</v>
      </c>
      <c r="N50" s="276">
        <f t="shared" si="3"/>
        <v>69209626.292512447</v>
      </c>
      <c r="O50" s="276">
        <f t="shared" si="3"/>
        <v>72269313.269707501</v>
      </c>
      <c r="P50" s="276">
        <f t="shared" si="3"/>
        <v>75464265.886957467</v>
      </c>
      <c r="Q50" s="276">
        <f t="shared" si="3"/>
        <v>78800464.10022378</v>
      </c>
      <c r="R50" s="276">
        <f t="shared" si="3"/>
        <v>82284152.233220756</v>
      </c>
      <c r="S50" s="276">
        <f t="shared" si="3"/>
        <v>85921850.66484426</v>
      </c>
      <c r="T50" s="276">
        <f t="shared" si="3"/>
        <v>89720368.033289641</v>
      </c>
      <c r="U50" s="276">
        <f t="shared" si="3"/>
        <v>93686813.97970134</v>
      </c>
      <c r="V50" s="276">
        <f t="shared" si="3"/>
        <v>97828612.455206171</v>
      </c>
      <c r="W50" s="276">
        <f t="shared" si="3"/>
        <v>102153515.6162371</v>
      </c>
      <c r="X50" s="276">
        <f t="shared" si="3"/>
        <v>106669618.33415493</v>
      </c>
      <c r="Y50" s="276">
        <f t="shared" si="3"/>
        <v>111385373.3463257</v>
      </c>
      <c r="Z50" s="276">
        <f t="shared" si="3"/>
        <v>116309607.07701169</v>
      </c>
      <c r="AA50" s="276">
        <f t="shared" si="3"/>
        <v>121451536.15768798</v>
      </c>
      <c r="AB50" s="276">
        <f t="shared" si="3"/>
        <v>126820784.67770512</v>
      </c>
      <c r="AC50" s="276">
        <f t="shared" si="3"/>
        <v>132427402.19758636</v>
      </c>
      <c r="AD50" s="276">
        <f t="shared" si="3"/>
        <v>138281882.55867398</v>
      </c>
      <c r="AE50" s="276">
        <f t="shared" si="3"/>
        <v>144395183.52433118</v>
      </c>
      <c r="AF50" s="276">
        <f t="shared" si="3"/>
        <v>150778747.2894614</v>
      </c>
      <c r="AG50" s="276">
        <f t="shared" si="3"/>
        <v>157444521.89673248</v>
      </c>
      <c r="AH50" s="276">
        <f t="shared" si="3"/>
        <v>164404983.5995903</v>
      </c>
      <c r="AI50" s="276">
        <f t="shared" si="3"/>
        <v>171673160.21391851</v>
      </c>
      <c r="AJ50" s="276">
        <f t="shared" si="3"/>
        <v>179262655.50205117</v>
      </c>
      <c r="AK50" s="276">
        <f t="shared" si="3"/>
        <v>187187674.63477793</v>
      </c>
      <c r="AL50" s="276">
        <f t="shared" si="3"/>
        <v>195463050.77899817</v>
      </c>
      <c r="AM50" s="276">
        <f t="shared" si="3"/>
        <v>204104272.86078852</v>
      </c>
      <c r="AN50" s="276">
        <f t="shared" si="3"/>
        <v>213127514.55584711</v>
      </c>
      <c r="AO50" s="276">
        <f t="shared" si="3"/>
        <v>222549664.5615758</v>
      </c>
      <c r="AP50" s="276">
        <f t="shared" si="3"/>
        <v>232388358.20746028</v>
      </c>
    </row>
    <row r="51" spans="1:45" ht="16.5" thickBot="1" x14ac:dyDescent="0.25"/>
    <row r="52" spans="1:45" x14ac:dyDescent="0.2">
      <c r="A52" s="277" t="s">
        <v>234</v>
      </c>
      <c r="B52" s="117">
        <f>B58</f>
        <v>1</v>
      </c>
      <c r="C52" s="117">
        <f t="shared" ref="C52:AO52" si="4">C58</f>
        <v>2</v>
      </c>
      <c r="D52" s="117">
        <f t="shared" si="4"/>
        <v>3</v>
      </c>
      <c r="E52" s="117">
        <f t="shared" si="4"/>
        <v>4</v>
      </c>
      <c r="F52" s="117">
        <f t="shared" si="4"/>
        <v>5</v>
      </c>
      <c r="G52" s="117">
        <f t="shared" si="4"/>
        <v>6</v>
      </c>
      <c r="H52" s="117">
        <f t="shared" si="4"/>
        <v>7</v>
      </c>
      <c r="I52" s="117">
        <f t="shared" si="4"/>
        <v>8</v>
      </c>
      <c r="J52" s="117">
        <f t="shared" si="4"/>
        <v>9</v>
      </c>
      <c r="K52" s="117">
        <f t="shared" si="4"/>
        <v>10</v>
      </c>
      <c r="L52" s="117">
        <f t="shared" si="4"/>
        <v>11</v>
      </c>
      <c r="M52" s="117">
        <f t="shared" si="4"/>
        <v>12</v>
      </c>
      <c r="N52" s="117">
        <f t="shared" si="4"/>
        <v>13</v>
      </c>
      <c r="O52" s="117">
        <f t="shared" si="4"/>
        <v>14</v>
      </c>
      <c r="P52" s="117">
        <f t="shared" si="4"/>
        <v>15</v>
      </c>
      <c r="Q52" s="117">
        <f t="shared" si="4"/>
        <v>16</v>
      </c>
      <c r="R52" s="117">
        <f t="shared" si="4"/>
        <v>17</v>
      </c>
      <c r="S52" s="117">
        <f t="shared" si="4"/>
        <v>18</v>
      </c>
      <c r="T52" s="117">
        <f t="shared" si="4"/>
        <v>19</v>
      </c>
      <c r="U52" s="117">
        <f t="shared" si="4"/>
        <v>20</v>
      </c>
      <c r="V52" s="117">
        <f t="shared" si="4"/>
        <v>21</v>
      </c>
      <c r="W52" s="117">
        <f t="shared" si="4"/>
        <v>22</v>
      </c>
      <c r="X52" s="117">
        <f t="shared" si="4"/>
        <v>23</v>
      </c>
      <c r="Y52" s="117">
        <f t="shared" si="4"/>
        <v>24</v>
      </c>
      <c r="Z52" s="117">
        <f t="shared" si="4"/>
        <v>25</v>
      </c>
      <c r="AA52" s="117">
        <f t="shared" si="4"/>
        <v>26</v>
      </c>
      <c r="AB52" s="117">
        <f t="shared" si="4"/>
        <v>27</v>
      </c>
      <c r="AC52" s="117">
        <f t="shared" si="4"/>
        <v>28</v>
      </c>
      <c r="AD52" s="117">
        <f t="shared" si="4"/>
        <v>29</v>
      </c>
      <c r="AE52" s="117">
        <f t="shared" si="4"/>
        <v>30</v>
      </c>
      <c r="AF52" s="117">
        <f t="shared" si="4"/>
        <v>31</v>
      </c>
      <c r="AG52" s="117">
        <f t="shared" si="4"/>
        <v>32</v>
      </c>
      <c r="AH52" s="117">
        <f t="shared" si="4"/>
        <v>33</v>
      </c>
      <c r="AI52" s="117">
        <f t="shared" si="4"/>
        <v>34</v>
      </c>
      <c r="AJ52" s="117">
        <f t="shared" si="4"/>
        <v>35</v>
      </c>
      <c r="AK52" s="117">
        <f t="shared" si="4"/>
        <v>36</v>
      </c>
      <c r="AL52" s="117">
        <f t="shared" si="4"/>
        <v>37</v>
      </c>
      <c r="AM52" s="117">
        <f t="shared" si="4"/>
        <v>38</v>
      </c>
      <c r="AN52" s="117">
        <f t="shared" si="4"/>
        <v>39</v>
      </c>
      <c r="AO52" s="117">
        <f t="shared" si="4"/>
        <v>40</v>
      </c>
      <c r="AP52" s="117">
        <f>AP58</f>
        <v>41</v>
      </c>
    </row>
    <row r="53" spans="1:45" x14ac:dyDescent="0.2">
      <c r="A53" s="278" t="s">
        <v>233</v>
      </c>
      <c r="B53" s="343">
        <v>0</v>
      </c>
      <c r="C53" s="343">
        <f t="shared" ref="C53:AP53" si="5">B53+B54-B55</f>
        <v>0</v>
      </c>
      <c r="D53" s="343">
        <f t="shared" si="5"/>
        <v>0</v>
      </c>
      <c r="E53" s="343">
        <f t="shared" si="5"/>
        <v>0</v>
      </c>
      <c r="F53" s="343">
        <f t="shared" si="5"/>
        <v>0</v>
      </c>
      <c r="G53" s="343">
        <f t="shared" si="5"/>
        <v>0</v>
      </c>
      <c r="H53" s="343">
        <f t="shared" si="5"/>
        <v>0</v>
      </c>
      <c r="I53" s="343">
        <f t="shared" si="5"/>
        <v>0</v>
      </c>
      <c r="J53" s="343">
        <f t="shared" si="5"/>
        <v>0</v>
      </c>
      <c r="K53" s="343">
        <f t="shared" si="5"/>
        <v>0</v>
      </c>
      <c r="L53" s="343">
        <f t="shared" si="5"/>
        <v>0</v>
      </c>
      <c r="M53" s="343">
        <f t="shared" si="5"/>
        <v>0</v>
      </c>
      <c r="N53" s="343">
        <f t="shared" si="5"/>
        <v>0</v>
      </c>
      <c r="O53" s="343">
        <f t="shared" si="5"/>
        <v>0</v>
      </c>
      <c r="P53" s="343">
        <f t="shared" si="5"/>
        <v>0</v>
      </c>
      <c r="Q53" s="343">
        <f t="shared" si="5"/>
        <v>0</v>
      </c>
      <c r="R53" s="343">
        <f t="shared" si="5"/>
        <v>0</v>
      </c>
      <c r="S53" s="343">
        <f t="shared" si="5"/>
        <v>0</v>
      </c>
      <c r="T53" s="343">
        <f t="shared" si="5"/>
        <v>0</v>
      </c>
      <c r="U53" s="343">
        <f t="shared" si="5"/>
        <v>0</v>
      </c>
      <c r="V53" s="343">
        <f t="shared" si="5"/>
        <v>0</v>
      </c>
      <c r="W53" s="343">
        <f t="shared" si="5"/>
        <v>0</v>
      </c>
      <c r="X53" s="343">
        <f t="shared" si="5"/>
        <v>0</v>
      </c>
      <c r="Y53" s="343">
        <f t="shared" si="5"/>
        <v>0</v>
      </c>
      <c r="Z53" s="343">
        <f t="shared" si="5"/>
        <v>0</v>
      </c>
      <c r="AA53" s="343">
        <f t="shared" si="5"/>
        <v>0</v>
      </c>
      <c r="AB53" s="343">
        <f t="shared" si="5"/>
        <v>0</v>
      </c>
      <c r="AC53" s="343">
        <f t="shared" si="5"/>
        <v>0</v>
      </c>
      <c r="AD53" s="343">
        <f t="shared" si="5"/>
        <v>0</v>
      </c>
      <c r="AE53" s="343">
        <f t="shared" si="5"/>
        <v>0</v>
      </c>
      <c r="AF53" s="343">
        <f t="shared" si="5"/>
        <v>0</v>
      </c>
      <c r="AG53" s="343">
        <f t="shared" si="5"/>
        <v>0</v>
      </c>
      <c r="AH53" s="343">
        <f t="shared" si="5"/>
        <v>0</v>
      </c>
      <c r="AI53" s="343">
        <f t="shared" si="5"/>
        <v>0</v>
      </c>
      <c r="AJ53" s="343">
        <f t="shared" si="5"/>
        <v>0</v>
      </c>
      <c r="AK53" s="343">
        <f t="shared" si="5"/>
        <v>0</v>
      </c>
      <c r="AL53" s="343">
        <f t="shared" si="5"/>
        <v>0</v>
      </c>
      <c r="AM53" s="343">
        <f t="shared" si="5"/>
        <v>0</v>
      </c>
      <c r="AN53" s="343">
        <f t="shared" si="5"/>
        <v>0</v>
      </c>
      <c r="AO53" s="343">
        <f t="shared" si="5"/>
        <v>0</v>
      </c>
      <c r="AP53" s="343">
        <f t="shared" si="5"/>
        <v>0</v>
      </c>
    </row>
    <row r="54" spans="1:45" x14ac:dyDescent="0.2">
      <c r="A54" s="278" t="s">
        <v>232</v>
      </c>
      <c r="B54" s="343">
        <f>B25*B28*B43*1.18</f>
        <v>0</v>
      </c>
      <c r="C54" s="343">
        <v>0</v>
      </c>
      <c r="D54" s="343">
        <v>0</v>
      </c>
      <c r="E54" s="343">
        <v>0</v>
      </c>
      <c r="F54" s="343">
        <v>0</v>
      </c>
      <c r="G54" s="343">
        <v>0</v>
      </c>
      <c r="H54" s="343">
        <v>0</v>
      </c>
      <c r="I54" s="343">
        <v>0</v>
      </c>
      <c r="J54" s="343">
        <v>0</v>
      </c>
      <c r="K54" s="343">
        <v>0</v>
      </c>
      <c r="L54" s="343">
        <v>0</v>
      </c>
      <c r="M54" s="343">
        <v>0</v>
      </c>
      <c r="N54" s="343">
        <v>0</v>
      </c>
      <c r="O54" s="343">
        <v>0</v>
      </c>
      <c r="P54" s="343">
        <v>0</v>
      </c>
      <c r="Q54" s="343">
        <v>0</v>
      </c>
      <c r="R54" s="343">
        <v>0</v>
      </c>
      <c r="S54" s="343">
        <v>0</v>
      </c>
      <c r="T54" s="343">
        <v>0</v>
      </c>
      <c r="U54" s="343">
        <v>0</v>
      </c>
      <c r="V54" s="343">
        <v>0</v>
      </c>
      <c r="W54" s="343">
        <v>0</v>
      </c>
      <c r="X54" s="343">
        <v>0</v>
      </c>
      <c r="Y54" s="343">
        <v>0</v>
      </c>
      <c r="Z54" s="343">
        <v>0</v>
      </c>
      <c r="AA54" s="343">
        <v>0</v>
      </c>
      <c r="AB54" s="343">
        <v>0</v>
      </c>
      <c r="AC54" s="343">
        <v>0</v>
      </c>
      <c r="AD54" s="343">
        <v>0</v>
      </c>
      <c r="AE54" s="343">
        <v>0</v>
      </c>
      <c r="AF54" s="343">
        <v>0</v>
      </c>
      <c r="AG54" s="343">
        <v>0</v>
      </c>
      <c r="AH54" s="343">
        <v>0</v>
      </c>
      <c r="AI54" s="343">
        <v>0</v>
      </c>
      <c r="AJ54" s="343">
        <v>0</v>
      </c>
      <c r="AK54" s="343">
        <v>0</v>
      </c>
      <c r="AL54" s="343">
        <v>0</v>
      </c>
      <c r="AM54" s="343">
        <v>0</v>
      </c>
      <c r="AN54" s="343">
        <v>0</v>
      </c>
      <c r="AO54" s="343">
        <v>0</v>
      </c>
      <c r="AP54" s="343">
        <v>0</v>
      </c>
    </row>
    <row r="55" spans="1:45" x14ac:dyDescent="0.2">
      <c r="A55" s="278" t="s">
        <v>231</v>
      </c>
      <c r="B55" s="343">
        <f>$B$54/$B$40</f>
        <v>0</v>
      </c>
      <c r="C55" s="343">
        <f t="shared" ref="C55:AP55" si="6">IF(ROUND(C53,1)=0,0,B55+C54/$B$40)</f>
        <v>0</v>
      </c>
      <c r="D55" s="343">
        <f t="shared" si="6"/>
        <v>0</v>
      </c>
      <c r="E55" s="343">
        <f t="shared" si="6"/>
        <v>0</v>
      </c>
      <c r="F55" s="343">
        <f t="shared" si="6"/>
        <v>0</v>
      </c>
      <c r="G55" s="343">
        <f t="shared" si="6"/>
        <v>0</v>
      </c>
      <c r="H55" s="343">
        <f t="shared" si="6"/>
        <v>0</v>
      </c>
      <c r="I55" s="343">
        <f t="shared" si="6"/>
        <v>0</v>
      </c>
      <c r="J55" s="343">
        <f t="shared" si="6"/>
        <v>0</v>
      </c>
      <c r="K55" s="343">
        <f t="shared" si="6"/>
        <v>0</v>
      </c>
      <c r="L55" s="343">
        <f t="shared" si="6"/>
        <v>0</v>
      </c>
      <c r="M55" s="343">
        <f t="shared" si="6"/>
        <v>0</v>
      </c>
      <c r="N55" s="343">
        <f t="shared" si="6"/>
        <v>0</v>
      </c>
      <c r="O55" s="343">
        <f t="shared" si="6"/>
        <v>0</v>
      </c>
      <c r="P55" s="343">
        <f t="shared" si="6"/>
        <v>0</v>
      </c>
      <c r="Q55" s="343">
        <f t="shared" si="6"/>
        <v>0</v>
      </c>
      <c r="R55" s="343">
        <f t="shared" si="6"/>
        <v>0</v>
      </c>
      <c r="S55" s="343">
        <f t="shared" si="6"/>
        <v>0</v>
      </c>
      <c r="T55" s="343">
        <f t="shared" si="6"/>
        <v>0</v>
      </c>
      <c r="U55" s="343">
        <f t="shared" si="6"/>
        <v>0</v>
      </c>
      <c r="V55" s="343">
        <f t="shared" si="6"/>
        <v>0</v>
      </c>
      <c r="W55" s="343">
        <f t="shared" si="6"/>
        <v>0</v>
      </c>
      <c r="X55" s="343">
        <f t="shared" si="6"/>
        <v>0</v>
      </c>
      <c r="Y55" s="343">
        <f t="shared" si="6"/>
        <v>0</v>
      </c>
      <c r="Z55" s="343">
        <f t="shared" si="6"/>
        <v>0</v>
      </c>
      <c r="AA55" s="343">
        <f t="shared" si="6"/>
        <v>0</v>
      </c>
      <c r="AB55" s="343">
        <f t="shared" si="6"/>
        <v>0</v>
      </c>
      <c r="AC55" s="343">
        <f t="shared" si="6"/>
        <v>0</v>
      </c>
      <c r="AD55" s="343">
        <f t="shared" si="6"/>
        <v>0</v>
      </c>
      <c r="AE55" s="343">
        <f t="shared" si="6"/>
        <v>0</v>
      </c>
      <c r="AF55" s="343">
        <f t="shared" si="6"/>
        <v>0</v>
      </c>
      <c r="AG55" s="343">
        <f t="shared" si="6"/>
        <v>0</v>
      </c>
      <c r="AH55" s="343">
        <f t="shared" si="6"/>
        <v>0</v>
      </c>
      <c r="AI55" s="343">
        <f t="shared" si="6"/>
        <v>0</v>
      </c>
      <c r="AJ55" s="343">
        <f t="shared" si="6"/>
        <v>0</v>
      </c>
      <c r="AK55" s="343">
        <f t="shared" si="6"/>
        <v>0</v>
      </c>
      <c r="AL55" s="343">
        <f t="shared" si="6"/>
        <v>0</v>
      </c>
      <c r="AM55" s="343">
        <f t="shared" si="6"/>
        <v>0</v>
      </c>
      <c r="AN55" s="343">
        <f t="shared" si="6"/>
        <v>0</v>
      </c>
      <c r="AO55" s="343">
        <f t="shared" si="6"/>
        <v>0</v>
      </c>
      <c r="AP55" s="343">
        <f t="shared" si="6"/>
        <v>0</v>
      </c>
    </row>
    <row r="56" spans="1:45" ht="16.5" thickBot="1" x14ac:dyDescent="0.25">
      <c r="A56" s="279" t="s">
        <v>230</v>
      </c>
      <c r="B56" s="118">
        <f t="shared" ref="B56:AP56" si="7">AVERAGE(SUM(B53:B54),(SUM(B53:B54)-B55))*$B$42</f>
        <v>0</v>
      </c>
      <c r="C56" s="118">
        <f t="shared" si="7"/>
        <v>0</v>
      </c>
      <c r="D56" s="118">
        <f t="shared" si="7"/>
        <v>0</v>
      </c>
      <c r="E56" s="118">
        <f t="shared" si="7"/>
        <v>0</v>
      </c>
      <c r="F56" s="118">
        <f t="shared" si="7"/>
        <v>0</v>
      </c>
      <c r="G56" s="118">
        <f t="shared" si="7"/>
        <v>0</v>
      </c>
      <c r="H56" s="118">
        <f t="shared" si="7"/>
        <v>0</v>
      </c>
      <c r="I56" s="118">
        <f t="shared" si="7"/>
        <v>0</v>
      </c>
      <c r="J56" s="118">
        <f t="shared" si="7"/>
        <v>0</v>
      </c>
      <c r="K56" s="118">
        <f t="shared" si="7"/>
        <v>0</v>
      </c>
      <c r="L56" s="118">
        <f t="shared" si="7"/>
        <v>0</v>
      </c>
      <c r="M56" s="118">
        <f t="shared" si="7"/>
        <v>0</v>
      </c>
      <c r="N56" s="118">
        <f t="shared" si="7"/>
        <v>0</v>
      </c>
      <c r="O56" s="118">
        <f t="shared" si="7"/>
        <v>0</v>
      </c>
      <c r="P56" s="118">
        <f t="shared" si="7"/>
        <v>0</v>
      </c>
      <c r="Q56" s="118">
        <f t="shared" si="7"/>
        <v>0</v>
      </c>
      <c r="R56" s="118">
        <f t="shared" si="7"/>
        <v>0</v>
      </c>
      <c r="S56" s="118">
        <f t="shared" si="7"/>
        <v>0</v>
      </c>
      <c r="T56" s="118">
        <f t="shared" si="7"/>
        <v>0</v>
      </c>
      <c r="U56" s="118">
        <f t="shared" si="7"/>
        <v>0</v>
      </c>
      <c r="V56" s="118">
        <f t="shared" si="7"/>
        <v>0</v>
      </c>
      <c r="W56" s="118">
        <f t="shared" si="7"/>
        <v>0</v>
      </c>
      <c r="X56" s="118">
        <f t="shared" si="7"/>
        <v>0</v>
      </c>
      <c r="Y56" s="118">
        <f t="shared" si="7"/>
        <v>0</v>
      </c>
      <c r="Z56" s="118">
        <f t="shared" si="7"/>
        <v>0</v>
      </c>
      <c r="AA56" s="118">
        <f t="shared" si="7"/>
        <v>0</v>
      </c>
      <c r="AB56" s="118">
        <f t="shared" si="7"/>
        <v>0</v>
      </c>
      <c r="AC56" s="118">
        <f t="shared" si="7"/>
        <v>0</v>
      </c>
      <c r="AD56" s="118">
        <f t="shared" si="7"/>
        <v>0</v>
      </c>
      <c r="AE56" s="118">
        <f t="shared" si="7"/>
        <v>0</v>
      </c>
      <c r="AF56" s="118">
        <f t="shared" si="7"/>
        <v>0</v>
      </c>
      <c r="AG56" s="118">
        <f t="shared" si="7"/>
        <v>0</v>
      </c>
      <c r="AH56" s="118">
        <f t="shared" si="7"/>
        <v>0</v>
      </c>
      <c r="AI56" s="118">
        <f t="shared" si="7"/>
        <v>0</v>
      </c>
      <c r="AJ56" s="118">
        <f t="shared" si="7"/>
        <v>0</v>
      </c>
      <c r="AK56" s="118">
        <f t="shared" si="7"/>
        <v>0</v>
      </c>
      <c r="AL56" s="118">
        <f t="shared" si="7"/>
        <v>0</v>
      </c>
      <c r="AM56" s="118">
        <f t="shared" si="7"/>
        <v>0</v>
      </c>
      <c r="AN56" s="118">
        <f t="shared" si="7"/>
        <v>0</v>
      </c>
      <c r="AO56" s="118">
        <f t="shared" si="7"/>
        <v>0</v>
      </c>
      <c r="AP56" s="118">
        <f t="shared" si="7"/>
        <v>0</v>
      </c>
    </row>
    <row r="57" spans="1:45" s="282" customFormat="1" ht="16.5" thickBot="1" x14ac:dyDescent="0.25">
      <c r="A57" s="280"/>
      <c r="B57" s="281"/>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c r="AK57" s="281"/>
      <c r="AL57" s="281"/>
      <c r="AM57" s="281"/>
      <c r="AN57" s="281"/>
      <c r="AO57" s="281"/>
      <c r="AP57" s="281"/>
      <c r="AQ57" s="231"/>
      <c r="AR57" s="231"/>
      <c r="AS57" s="231"/>
    </row>
    <row r="58" spans="1:45" x14ac:dyDescent="0.2">
      <c r="A58" s="277" t="s">
        <v>394</v>
      </c>
      <c r="B58" s="117">
        <v>1</v>
      </c>
      <c r="C58" s="117">
        <f>B58+1</f>
        <v>2</v>
      </c>
      <c r="D58" s="117">
        <f t="shared" ref="D58:AP58" si="8">C58+1</f>
        <v>3</v>
      </c>
      <c r="E58" s="117">
        <f t="shared" si="8"/>
        <v>4</v>
      </c>
      <c r="F58" s="117">
        <f t="shared" si="8"/>
        <v>5</v>
      </c>
      <c r="G58" s="117">
        <f t="shared" si="8"/>
        <v>6</v>
      </c>
      <c r="H58" s="117">
        <f t="shared" si="8"/>
        <v>7</v>
      </c>
      <c r="I58" s="117">
        <f t="shared" si="8"/>
        <v>8</v>
      </c>
      <c r="J58" s="117">
        <f t="shared" si="8"/>
        <v>9</v>
      </c>
      <c r="K58" s="117">
        <f t="shared" si="8"/>
        <v>10</v>
      </c>
      <c r="L58" s="117">
        <f t="shared" si="8"/>
        <v>11</v>
      </c>
      <c r="M58" s="117">
        <f t="shared" si="8"/>
        <v>12</v>
      </c>
      <c r="N58" s="117">
        <f t="shared" si="8"/>
        <v>13</v>
      </c>
      <c r="O58" s="117">
        <f t="shared" si="8"/>
        <v>14</v>
      </c>
      <c r="P58" s="117">
        <f t="shared" si="8"/>
        <v>15</v>
      </c>
      <c r="Q58" s="117">
        <f t="shared" si="8"/>
        <v>16</v>
      </c>
      <c r="R58" s="117">
        <f t="shared" si="8"/>
        <v>17</v>
      </c>
      <c r="S58" s="117">
        <f t="shared" si="8"/>
        <v>18</v>
      </c>
      <c r="T58" s="117">
        <f t="shared" si="8"/>
        <v>19</v>
      </c>
      <c r="U58" s="117">
        <f t="shared" si="8"/>
        <v>20</v>
      </c>
      <c r="V58" s="117">
        <f t="shared" si="8"/>
        <v>21</v>
      </c>
      <c r="W58" s="117">
        <f t="shared" si="8"/>
        <v>22</v>
      </c>
      <c r="X58" s="117">
        <f t="shared" si="8"/>
        <v>23</v>
      </c>
      <c r="Y58" s="117">
        <f t="shared" si="8"/>
        <v>24</v>
      </c>
      <c r="Z58" s="117">
        <f t="shared" si="8"/>
        <v>25</v>
      </c>
      <c r="AA58" s="117">
        <f t="shared" si="8"/>
        <v>26</v>
      </c>
      <c r="AB58" s="117">
        <f t="shared" si="8"/>
        <v>27</v>
      </c>
      <c r="AC58" s="117">
        <f t="shared" si="8"/>
        <v>28</v>
      </c>
      <c r="AD58" s="117">
        <f t="shared" si="8"/>
        <v>29</v>
      </c>
      <c r="AE58" s="117">
        <f t="shared" si="8"/>
        <v>30</v>
      </c>
      <c r="AF58" s="117">
        <f t="shared" si="8"/>
        <v>31</v>
      </c>
      <c r="AG58" s="117">
        <f t="shared" si="8"/>
        <v>32</v>
      </c>
      <c r="AH58" s="117">
        <f t="shared" si="8"/>
        <v>33</v>
      </c>
      <c r="AI58" s="117">
        <f t="shared" si="8"/>
        <v>34</v>
      </c>
      <c r="AJ58" s="117">
        <f t="shared" si="8"/>
        <v>35</v>
      </c>
      <c r="AK58" s="117">
        <f t="shared" si="8"/>
        <v>36</v>
      </c>
      <c r="AL58" s="117">
        <f t="shared" si="8"/>
        <v>37</v>
      </c>
      <c r="AM58" s="117">
        <f t="shared" si="8"/>
        <v>38</v>
      </c>
      <c r="AN58" s="117">
        <f t="shared" si="8"/>
        <v>39</v>
      </c>
      <c r="AO58" s="117">
        <f t="shared" si="8"/>
        <v>40</v>
      </c>
      <c r="AP58" s="117">
        <f t="shared" si="8"/>
        <v>41</v>
      </c>
    </row>
    <row r="59" spans="1:45" ht="14.25" x14ac:dyDescent="0.2">
      <c r="A59" s="283" t="s">
        <v>229</v>
      </c>
      <c r="B59" s="344">
        <f t="shared" ref="B59:AP59" si="9">B50*$B$28</f>
        <v>65227327.160000004</v>
      </c>
      <c r="C59" s="344">
        <f t="shared" si="9"/>
        <v>0</v>
      </c>
      <c r="D59" s="344">
        <f t="shared" si="9"/>
        <v>12046705.540915841</v>
      </c>
      <c r="E59" s="344">
        <f t="shared" si="9"/>
        <v>27365898.64538531</v>
      </c>
      <c r="F59" s="344">
        <f t="shared" si="9"/>
        <v>45520109.250314817</v>
      </c>
      <c r="G59" s="344">
        <f t="shared" si="9"/>
        <v>49161049.551383667</v>
      </c>
      <c r="H59" s="344">
        <f t="shared" si="9"/>
        <v>53387792.276687615</v>
      </c>
      <c r="I59" s="344">
        <f t="shared" si="9"/>
        <v>55748012.112000443</v>
      </c>
      <c r="J59" s="344">
        <f t="shared" si="9"/>
        <v>58212574.858556598</v>
      </c>
      <c r="K59" s="344">
        <f t="shared" si="9"/>
        <v>60786093.410021268</v>
      </c>
      <c r="L59" s="344">
        <f t="shared" si="9"/>
        <v>63473384.591382928</v>
      </c>
      <c r="M59" s="344">
        <f t="shared" si="9"/>
        <v>66279478.174549095</v>
      </c>
      <c r="N59" s="344">
        <f t="shared" si="9"/>
        <v>69209626.292512447</v>
      </c>
      <c r="O59" s="344">
        <f t="shared" si="9"/>
        <v>72269313.269707501</v>
      </c>
      <c r="P59" s="344">
        <f t="shared" si="9"/>
        <v>75464265.886957467</v>
      </c>
      <c r="Q59" s="344">
        <f t="shared" si="9"/>
        <v>78800464.10022378</v>
      </c>
      <c r="R59" s="344">
        <f t="shared" si="9"/>
        <v>82284152.233220756</v>
      </c>
      <c r="S59" s="344">
        <f t="shared" si="9"/>
        <v>85921850.66484426</v>
      </c>
      <c r="T59" s="344">
        <f t="shared" si="9"/>
        <v>89720368.033289641</v>
      </c>
      <c r="U59" s="344">
        <f t="shared" si="9"/>
        <v>93686813.97970134</v>
      </c>
      <c r="V59" s="344">
        <f t="shared" si="9"/>
        <v>97828612.455206171</v>
      </c>
      <c r="W59" s="344">
        <f t="shared" si="9"/>
        <v>102153515.6162371</v>
      </c>
      <c r="X59" s="344">
        <f t="shared" si="9"/>
        <v>106669618.33415493</v>
      </c>
      <c r="Y59" s="344">
        <f t="shared" si="9"/>
        <v>111385373.3463257</v>
      </c>
      <c r="Z59" s="344">
        <f t="shared" si="9"/>
        <v>116309607.07701169</v>
      </c>
      <c r="AA59" s="344">
        <f t="shared" si="9"/>
        <v>121451536.15768798</v>
      </c>
      <c r="AB59" s="344">
        <f t="shared" si="9"/>
        <v>126820784.67770512</v>
      </c>
      <c r="AC59" s="344">
        <f t="shared" si="9"/>
        <v>132427402.19758636</v>
      </c>
      <c r="AD59" s="344">
        <f t="shared" si="9"/>
        <v>138281882.55867398</v>
      </c>
      <c r="AE59" s="344">
        <f t="shared" si="9"/>
        <v>144395183.52433118</v>
      </c>
      <c r="AF59" s="344">
        <f t="shared" si="9"/>
        <v>150778747.2894614</v>
      </c>
      <c r="AG59" s="344">
        <f t="shared" si="9"/>
        <v>157444521.89673248</v>
      </c>
      <c r="AH59" s="344">
        <f t="shared" si="9"/>
        <v>164404983.5995903</v>
      </c>
      <c r="AI59" s="344">
        <f t="shared" si="9"/>
        <v>171673160.21391851</v>
      </c>
      <c r="AJ59" s="344">
        <f t="shared" si="9"/>
        <v>179262655.50205117</v>
      </c>
      <c r="AK59" s="344">
        <f t="shared" si="9"/>
        <v>187187674.63477793</v>
      </c>
      <c r="AL59" s="344">
        <f t="shared" si="9"/>
        <v>195463050.77899817</v>
      </c>
      <c r="AM59" s="344">
        <f t="shared" si="9"/>
        <v>204104272.86078852</v>
      </c>
      <c r="AN59" s="344">
        <f t="shared" si="9"/>
        <v>213127514.55584711</v>
      </c>
      <c r="AO59" s="344">
        <f t="shared" si="9"/>
        <v>222549664.5615758</v>
      </c>
      <c r="AP59" s="344">
        <f t="shared" si="9"/>
        <v>232388358.20746028</v>
      </c>
    </row>
    <row r="60" spans="1:45" x14ac:dyDescent="0.2">
      <c r="A60" s="278" t="s">
        <v>228</v>
      </c>
      <c r="B60" s="343">
        <f t="shared" ref="B60:Z60" si="10">SUM(B61:B65)</f>
        <v>0</v>
      </c>
      <c r="C60" s="343">
        <f t="shared" si="10"/>
        <v>0</v>
      </c>
      <c r="D60" s="343">
        <f>SUM(D61:D65)</f>
        <v>0</v>
      </c>
      <c r="E60" s="343">
        <f t="shared" si="10"/>
        <v>0</v>
      </c>
      <c r="F60" s="343">
        <f t="shared" si="10"/>
        <v>0</v>
      </c>
      <c r="G60" s="343">
        <f t="shared" si="10"/>
        <v>0</v>
      </c>
      <c r="H60" s="343">
        <f t="shared" si="10"/>
        <v>-4550090.2490618182</v>
      </c>
      <c r="I60" s="343">
        <f t="shared" si="10"/>
        <v>-4751245.0973957246</v>
      </c>
      <c r="J60" s="343">
        <f t="shared" si="10"/>
        <v>-4961292.7963750828</v>
      </c>
      <c r="K60" s="343">
        <f t="shared" si="10"/>
        <v>-5180626.4898552736</v>
      </c>
      <c r="L60" s="343">
        <f t="shared" si="10"/>
        <v>-5409656.7021804741</v>
      </c>
      <c r="M60" s="343">
        <f t="shared" si="10"/>
        <v>-5648812.1065573394</v>
      </c>
      <c r="N60" s="343">
        <f t="shared" si="10"/>
        <v>-5898540.3273976995</v>
      </c>
      <c r="O60" s="343">
        <f t="shared" si="10"/>
        <v>-6159308.7781320037</v>
      </c>
      <c r="P60" s="343">
        <f t="shared" si="10"/>
        <v>-6431605.536061652</v>
      </c>
      <c r="Q60" s="343">
        <f t="shared" si="10"/>
        <v>-6715940.255887649</v>
      </c>
      <c r="R60" s="343">
        <f t="shared" si="10"/>
        <v>-7012845.1236254275</v>
      </c>
      <c r="S60" s="343">
        <f t="shared" si="10"/>
        <v>-7322875.8526912769</v>
      </c>
      <c r="T60" s="343">
        <f t="shared" si="10"/>
        <v>-7646612.7240247326</v>
      </c>
      <c r="U60" s="343">
        <f t="shared" si="10"/>
        <v>-7984661.67219372</v>
      </c>
      <c r="V60" s="343">
        <f t="shared" si="10"/>
        <v>-8337655.4195152922</v>
      </c>
      <c r="W60" s="343">
        <f t="shared" si="10"/>
        <v>-8706254.6603146996</v>
      </c>
      <c r="X60" s="343">
        <f t="shared" si="10"/>
        <v>-9091149.2975393273</v>
      </c>
      <c r="Y60" s="343">
        <f t="shared" si="10"/>
        <v>-9493059.734042095</v>
      </c>
      <c r="Z60" s="343">
        <f t="shared" si="10"/>
        <v>-9912738.2209511586</v>
      </c>
      <c r="AA60" s="343">
        <f t="shared" ref="AA60:AP60" si="11">SUM(AA61:AA65)</f>
        <v>-10350970.265649676</v>
      </c>
      <c r="AB60" s="343">
        <f t="shared" si="11"/>
        <v>-10808576.102000911</v>
      </c>
      <c r="AC60" s="343">
        <f t="shared" si="11"/>
        <v>-11286412.225570498</v>
      </c>
      <c r="AD60" s="343">
        <f t="shared" si="11"/>
        <v>-11785372.99671931</v>
      </c>
      <c r="AE60" s="343">
        <f t="shared" si="11"/>
        <v>-12306392.314567434</v>
      </c>
      <c r="AF60" s="343">
        <f t="shared" si="11"/>
        <v>-12850445.364962375</v>
      </c>
      <c r="AG60" s="343">
        <f t="shared" si="11"/>
        <v>-13418550.445723165</v>
      </c>
      <c r="AH60" s="343">
        <f t="shared" si="11"/>
        <v>-14011770.872576647</v>
      </c>
      <c r="AI60" s="343">
        <f t="shared" si="11"/>
        <v>-14631216.969353244</v>
      </c>
      <c r="AJ60" s="343">
        <f t="shared" si="11"/>
        <v>-15278048.146167278</v>
      </c>
      <c r="AK60" s="343">
        <f t="shared" si="11"/>
        <v>-15953475.069471508</v>
      </c>
      <c r="AL60" s="343">
        <f t="shared" si="11"/>
        <v>-16658761.928047549</v>
      </c>
      <c r="AM60" s="343">
        <f t="shared" si="11"/>
        <v>-17395228.799173456</v>
      </c>
      <c r="AN60" s="343">
        <f t="shared" si="11"/>
        <v>-18164254.119397119</v>
      </c>
      <c r="AO60" s="343">
        <f t="shared" si="11"/>
        <v>-18967277.264540061</v>
      </c>
      <c r="AP60" s="343">
        <f t="shared" si="11"/>
        <v>-19805801.24376056</v>
      </c>
    </row>
    <row r="61" spans="1:45" x14ac:dyDescent="0.2">
      <c r="A61" s="120" t="s">
        <v>227</v>
      </c>
      <c r="B61" s="343"/>
      <c r="C61" s="343">
        <f>-IF(C$47&lt;=$B$30,0,$B$29*(1+C$49)*$B$28)</f>
        <v>0</v>
      </c>
      <c r="D61" s="343">
        <f>-IF(D$47&lt;=$B$30,0,$B$29*(1+D$49)*$B$28)</f>
        <v>0</v>
      </c>
      <c r="E61" s="343">
        <f t="shared" ref="E61:AP61" si="12">-IF(E$47&lt;=$B$30,0,$B$29*(1+E$49)*$B$28)</f>
        <v>0</v>
      </c>
      <c r="F61" s="343">
        <f t="shared" si="12"/>
        <v>0</v>
      </c>
      <c r="G61" s="343">
        <f t="shared" si="12"/>
        <v>0</v>
      </c>
      <c r="H61" s="343">
        <f t="shared" si="12"/>
        <v>-4550090.2490618182</v>
      </c>
      <c r="I61" s="343">
        <f t="shared" si="12"/>
        <v>-4751245.0973957246</v>
      </c>
      <c r="J61" s="343">
        <f t="shared" si="12"/>
        <v>-4961292.7963750828</v>
      </c>
      <c r="K61" s="343">
        <f t="shared" si="12"/>
        <v>-5180626.4898552736</v>
      </c>
      <c r="L61" s="343">
        <f t="shared" si="12"/>
        <v>-5409656.7021804741</v>
      </c>
      <c r="M61" s="343">
        <f t="shared" si="12"/>
        <v>-5648812.1065573394</v>
      </c>
      <c r="N61" s="343">
        <f t="shared" si="12"/>
        <v>-5898540.3273976995</v>
      </c>
      <c r="O61" s="343">
        <f t="shared" si="12"/>
        <v>-6159308.7781320037</v>
      </c>
      <c r="P61" s="343">
        <f t="shared" si="12"/>
        <v>-6431605.536061652</v>
      </c>
      <c r="Q61" s="343">
        <f t="shared" si="12"/>
        <v>-6715940.255887649</v>
      </c>
      <c r="R61" s="343">
        <f t="shared" si="12"/>
        <v>-7012845.1236254275</v>
      </c>
      <c r="S61" s="343">
        <f t="shared" si="12"/>
        <v>-7322875.8526912769</v>
      </c>
      <c r="T61" s="343">
        <f t="shared" si="12"/>
        <v>-7646612.7240247326</v>
      </c>
      <c r="U61" s="343">
        <f t="shared" si="12"/>
        <v>-7984661.67219372</v>
      </c>
      <c r="V61" s="343">
        <f t="shared" si="12"/>
        <v>-8337655.4195152922</v>
      </c>
      <c r="W61" s="343">
        <f t="shared" si="12"/>
        <v>-8706254.6603146996</v>
      </c>
      <c r="X61" s="343">
        <f t="shared" si="12"/>
        <v>-9091149.2975393273</v>
      </c>
      <c r="Y61" s="343">
        <f t="shared" si="12"/>
        <v>-9493059.734042095</v>
      </c>
      <c r="Z61" s="343">
        <f t="shared" si="12"/>
        <v>-9912738.2209511586</v>
      </c>
      <c r="AA61" s="343">
        <f t="shared" si="12"/>
        <v>-10350970.265649676</v>
      </c>
      <c r="AB61" s="343">
        <f t="shared" si="12"/>
        <v>-10808576.102000911</v>
      </c>
      <c r="AC61" s="343">
        <f t="shared" si="12"/>
        <v>-11286412.225570498</v>
      </c>
      <c r="AD61" s="343">
        <f t="shared" si="12"/>
        <v>-11785372.99671931</v>
      </c>
      <c r="AE61" s="343">
        <f t="shared" si="12"/>
        <v>-12306392.314567434</v>
      </c>
      <c r="AF61" s="343">
        <f t="shared" si="12"/>
        <v>-12850445.364962375</v>
      </c>
      <c r="AG61" s="343">
        <f t="shared" si="12"/>
        <v>-13418550.445723165</v>
      </c>
      <c r="AH61" s="343">
        <f t="shared" si="12"/>
        <v>-14011770.872576647</v>
      </c>
      <c r="AI61" s="343">
        <f t="shared" si="12"/>
        <v>-14631216.969353244</v>
      </c>
      <c r="AJ61" s="343">
        <f t="shared" si="12"/>
        <v>-15278048.146167278</v>
      </c>
      <c r="AK61" s="343">
        <f t="shared" si="12"/>
        <v>-15953475.069471508</v>
      </c>
      <c r="AL61" s="343">
        <f t="shared" si="12"/>
        <v>-16658761.928047549</v>
      </c>
      <c r="AM61" s="343">
        <f t="shared" si="12"/>
        <v>-17395228.799173456</v>
      </c>
      <c r="AN61" s="343">
        <f t="shared" si="12"/>
        <v>-18164254.119397119</v>
      </c>
      <c r="AO61" s="343">
        <f t="shared" si="12"/>
        <v>-18967277.264540061</v>
      </c>
      <c r="AP61" s="343">
        <f t="shared" si="12"/>
        <v>-19805801.24376056</v>
      </c>
    </row>
    <row r="62" spans="1:45" x14ac:dyDescent="0.2">
      <c r="A62" s="120" t="str">
        <f>A32</f>
        <v>Прочие расходы при эксплуатации объекта, руб. без НДС</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3"/>
      <c r="AL62" s="343"/>
      <c r="AM62" s="343"/>
      <c r="AN62" s="343"/>
      <c r="AO62" s="343"/>
      <c r="AP62" s="343"/>
    </row>
    <row r="63" spans="1:45" x14ac:dyDescent="0.2">
      <c r="A63" s="120" t="s">
        <v>389</v>
      </c>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3"/>
      <c r="AL63" s="343"/>
      <c r="AM63" s="343"/>
      <c r="AN63" s="343"/>
      <c r="AO63" s="343"/>
      <c r="AP63" s="343"/>
    </row>
    <row r="64" spans="1:45" x14ac:dyDescent="0.2">
      <c r="A64" s="120" t="s">
        <v>389</v>
      </c>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3"/>
      <c r="AL64" s="343"/>
      <c r="AM64" s="343"/>
      <c r="AN64" s="343"/>
      <c r="AO64" s="343"/>
      <c r="AP64" s="343"/>
    </row>
    <row r="65" spans="1:45" ht="31.5" x14ac:dyDescent="0.2">
      <c r="A65" s="120" t="s">
        <v>541</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3"/>
      <c r="AL65" s="343"/>
      <c r="AM65" s="343"/>
      <c r="AN65" s="343"/>
      <c r="AO65" s="343"/>
      <c r="AP65" s="343"/>
    </row>
    <row r="66" spans="1:45" ht="28.5" x14ac:dyDescent="0.2">
      <c r="A66" s="284" t="s">
        <v>542</v>
      </c>
      <c r="B66" s="344">
        <f t="shared" ref="B66:AO66" si="13">B59+B60</f>
        <v>65227327.160000004</v>
      </c>
      <c r="C66" s="344">
        <f t="shared" si="13"/>
        <v>0</v>
      </c>
      <c r="D66" s="344">
        <f t="shared" si="13"/>
        <v>12046705.540915841</v>
      </c>
      <c r="E66" s="344">
        <f t="shared" si="13"/>
        <v>27365898.64538531</v>
      </c>
      <c r="F66" s="344">
        <f t="shared" si="13"/>
        <v>45520109.250314817</v>
      </c>
      <c r="G66" s="344">
        <f t="shared" si="13"/>
        <v>49161049.551383667</v>
      </c>
      <c r="H66" s="344">
        <f t="shared" si="13"/>
        <v>48837702.027625799</v>
      </c>
      <c r="I66" s="344">
        <f t="shared" si="13"/>
        <v>50996767.014604717</v>
      </c>
      <c r="J66" s="344">
        <f t="shared" si="13"/>
        <v>53251282.062181517</v>
      </c>
      <c r="K66" s="344">
        <f t="shared" si="13"/>
        <v>55605466.920165993</v>
      </c>
      <c r="L66" s="344">
        <f t="shared" si="13"/>
        <v>58063727.889202453</v>
      </c>
      <c r="M66" s="344">
        <f t="shared" si="13"/>
        <v>60630666.067991756</v>
      </c>
      <c r="N66" s="344">
        <f t="shared" si="13"/>
        <v>63311085.96511475</v>
      </c>
      <c r="O66" s="344">
        <f t="shared" si="13"/>
        <v>66110004.491575494</v>
      </c>
      <c r="P66" s="344">
        <f t="shared" si="13"/>
        <v>69032660.350895822</v>
      </c>
      <c r="Q66" s="344">
        <f t="shared" si="13"/>
        <v>72084523.844336137</v>
      </c>
      <c r="R66" s="344">
        <f t="shared" si="13"/>
        <v>75271307.109595329</v>
      </c>
      <c r="S66" s="344">
        <f t="shared" si="13"/>
        <v>78598974.812152982</v>
      </c>
      <c r="T66" s="344">
        <f t="shared" si="13"/>
        <v>82073755.309264913</v>
      </c>
      <c r="U66" s="344">
        <f t="shared" si="13"/>
        <v>85702152.307507619</v>
      </c>
      <c r="V66" s="344">
        <f t="shared" si="13"/>
        <v>89490957.035690874</v>
      </c>
      <c r="W66" s="344">
        <f t="shared" si="13"/>
        <v>93447260.95592241</v>
      </c>
      <c r="X66" s="344">
        <f t="shared" si="13"/>
        <v>97578469.03661561</v>
      </c>
      <c r="Y66" s="344">
        <f t="shared" si="13"/>
        <v>101892313.6122836</v>
      </c>
      <c r="Z66" s="344">
        <f t="shared" si="13"/>
        <v>106396868.85606053</v>
      </c>
      <c r="AA66" s="344">
        <f t="shared" si="13"/>
        <v>111100565.8920383</v>
      </c>
      <c r="AB66" s="344">
        <f t="shared" si="13"/>
        <v>116012208.57570422</v>
      </c>
      <c r="AC66" s="344">
        <f t="shared" si="13"/>
        <v>121140989.97201586</v>
      </c>
      <c r="AD66" s="344">
        <f t="shared" si="13"/>
        <v>126496509.56195466</v>
      </c>
      <c r="AE66" s="344">
        <f t="shared" si="13"/>
        <v>132088791.20976375</v>
      </c>
      <c r="AF66" s="344">
        <f t="shared" si="13"/>
        <v>137928301.92449903</v>
      </c>
      <c r="AG66" s="344">
        <f t="shared" si="13"/>
        <v>144025971.4510093</v>
      </c>
      <c r="AH66" s="344">
        <f t="shared" si="13"/>
        <v>150393212.72701365</v>
      </c>
      <c r="AI66" s="344">
        <f t="shared" si="13"/>
        <v>157041943.24456525</v>
      </c>
      <c r="AJ66" s="344">
        <f t="shared" si="13"/>
        <v>163984607.3558839</v>
      </c>
      <c r="AK66" s="344">
        <f t="shared" si="13"/>
        <v>171234199.56530643</v>
      </c>
      <c r="AL66" s="344">
        <f t="shared" si="13"/>
        <v>178804288.85095063</v>
      </c>
      <c r="AM66" s="344">
        <f t="shared" si="13"/>
        <v>186709044.06161508</v>
      </c>
      <c r="AN66" s="344">
        <f t="shared" si="13"/>
        <v>194963260.43645</v>
      </c>
      <c r="AO66" s="344">
        <f t="shared" si="13"/>
        <v>203582387.29703575</v>
      </c>
      <c r="AP66" s="344">
        <f>AP59+AP60</f>
        <v>212582556.96369973</v>
      </c>
    </row>
    <row r="67" spans="1:45" x14ac:dyDescent="0.2">
      <c r="A67" s="120" t="s">
        <v>222</v>
      </c>
      <c r="B67" s="116"/>
      <c r="C67" s="343"/>
      <c r="D67" s="343">
        <f>-($B$25)*1.2*$B$28/$B$27</f>
        <v>-2535372.0273333336</v>
      </c>
      <c r="E67" s="343">
        <f t="shared" ref="E67:AP67" si="14">D67</f>
        <v>-2535372.0273333336</v>
      </c>
      <c r="F67" s="343">
        <f t="shared" si="14"/>
        <v>-2535372.0273333336</v>
      </c>
      <c r="G67" s="343">
        <f t="shared" si="14"/>
        <v>-2535372.0273333336</v>
      </c>
      <c r="H67" s="343">
        <f t="shared" si="14"/>
        <v>-2535372.0273333336</v>
      </c>
      <c r="I67" s="343">
        <f t="shared" si="14"/>
        <v>-2535372.0273333336</v>
      </c>
      <c r="J67" s="343">
        <f t="shared" si="14"/>
        <v>-2535372.0273333336</v>
      </c>
      <c r="K67" s="343">
        <f t="shared" si="14"/>
        <v>-2535372.0273333336</v>
      </c>
      <c r="L67" s="343">
        <f t="shared" si="14"/>
        <v>-2535372.0273333336</v>
      </c>
      <c r="M67" s="343">
        <f t="shared" si="14"/>
        <v>-2535372.0273333336</v>
      </c>
      <c r="N67" s="343">
        <f t="shared" si="14"/>
        <v>-2535372.0273333336</v>
      </c>
      <c r="O67" s="343">
        <f t="shared" si="14"/>
        <v>-2535372.0273333336</v>
      </c>
      <c r="P67" s="343">
        <f t="shared" si="14"/>
        <v>-2535372.0273333336</v>
      </c>
      <c r="Q67" s="343">
        <f t="shared" si="14"/>
        <v>-2535372.0273333336</v>
      </c>
      <c r="R67" s="343">
        <f t="shared" si="14"/>
        <v>-2535372.0273333336</v>
      </c>
      <c r="S67" s="343">
        <f t="shared" si="14"/>
        <v>-2535372.0273333336</v>
      </c>
      <c r="T67" s="343">
        <f t="shared" si="14"/>
        <v>-2535372.0273333336</v>
      </c>
      <c r="U67" s="343">
        <f t="shared" si="14"/>
        <v>-2535372.0273333336</v>
      </c>
      <c r="V67" s="343">
        <f t="shared" si="14"/>
        <v>-2535372.0273333336</v>
      </c>
      <c r="W67" s="343">
        <f t="shared" si="14"/>
        <v>-2535372.0273333336</v>
      </c>
      <c r="X67" s="343">
        <f t="shared" si="14"/>
        <v>-2535372.0273333336</v>
      </c>
      <c r="Y67" s="343">
        <f t="shared" si="14"/>
        <v>-2535372.0273333336</v>
      </c>
      <c r="Z67" s="343">
        <f t="shared" si="14"/>
        <v>-2535372.0273333336</v>
      </c>
      <c r="AA67" s="343">
        <f t="shared" si="14"/>
        <v>-2535372.0273333336</v>
      </c>
      <c r="AB67" s="343">
        <f t="shared" si="14"/>
        <v>-2535372.0273333336</v>
      </c>
      <c r="AC67" s="343">
        <f t="shared" si="14"/>
        <v>-2535372.0273333336</v>
      </c>
      <c r="AD67" s="343">
        <f t="shared" si="14"/>
        <v>-2535372.0273333336</v>
      </c>
      <c r="AE67" s="343">
        <f t="shared" si="14"/>
        <v>-2535372.0273333336</v>
      </c>
      <c r="AF67" s="343">
        <f t="shared" si="14"/>
        <v>-2535372.0273333336</v>
      </c>
      <c r="AG67" s="343">
        <f t="shared" si="14"/>
        <v>-2535372.0273333336</v>
      </c>
      <c r="AH67" s="343">
        <f t="shared" si="14"/>
        <v>-2535372.0273333336</v>
      </c>
      <c r="AI67" s="343">
        <f t="shared" si="14"/>
        <v>-2535372.0273333336</v>
      </c>
      <c r="AJ67" s="343">
        <f t="shared" si="14"/>
        <v>-2535372.0273333336</v>
      </c>
      <c r="AK67" s="343">
        <f t="shared" si="14"/>
        <v>-2535372.0273333336</v>
      </c>
      <c r="AL67" s="343">
        <f t="shared" si="14"/>
        <v>-2535372.0273333336</v>
      </c>
      <c r="AM67" s="343">
        <f t="shared" si="14"/>
        <v>-2535372.0273333336</v>
      </c>
      <c r="AN67" s="343">
        <f t="shared" si="14"/>
        <v>-2535372.0273333336</v>
      </c>
      <c r="AO67" s="343">
        <f t="shared" si="14"/>
        <v>-2535372.0273333336</v>
      </c>
      <c r="AP67" s="343">
        <f t="shared" si="14"/>
        <v>-2535372.0273333336</v>
      </c>
      <c r="AQ67" s="285">
        <f>SUM(B67:AA67)/1.18</f>
        <v>-51566888.691525437</v>
      </c>
      <c r="AR67" s="286">
        <f>SUM(B67:AF67)/1.18</f>
        <v>-62309990.502259895</v>
      </c>
      <c r="AS67" s="286">
        <f>SUM(B67:AP67)/1.18</f>
        <v>-83796194.123728827</v>
      </c>
    </row>
    <row r="68" spans="1:45" ht="28.5" x14ac:dyDescent="0.2">
      <c r="A68" s="284" t="s">
        <v>543</v>
      </c>
      <c r="B68" s="344">
        <f t="shared" ref="B68:J68" si="15">B66+B67</f>
        <v>65227327.160000004</v>
      </c>
      <c r="C68" s="344">
        <f>C66+C67</f>
        <v>0</v>
      </c>
      <c r="D68" s="344">
        <f>D66+D67</f>
        <v>9511333.5135825071</v>
      </c>
      <c r="E68" s="344">
        <f t="shared" si="15"/>
        <v>24830526.618051976</v>
      </c>
      <c r="F68" s="344">
        <f>F66+C67</f>
        <v>45520109.250314817</v>
      </c>
      <c r="G68" s="344">
        <f t="shared" si="15"/>
        <v>46625677.524050333</v>
      </c>
      <c r="H68" s="344">
        <f t="shared" si="15"/>
        <v>46302330.000292465</v>
      </c>
      <c r="I68" s="344">
        <f t="shared" si="15"/>
        <v>48461394.987271383</v>
      </c>
      <c r="J68" s="344">
        <f t="shared" si="15"/>
        <v>50715910.034848183</v>
      </c>
      <c r="K68" s="344">
        <f>K66+K67</f>
        <v>53070094.892832659</v>
      </c>
      <c r="L68" s="344">
        <f>L66+L67</f>
        <v>55528355.861869119</v>
      </c>
      <c r="M68" s="344">
        <f t="shared" ref="M68:AO68" si="16">M66+M67</f>
        <v>58095294.040658422</v>
      </c>
      <c r="N68" s="344">
        <f t="shared" si="16"/>
        <v>60775713.937781416</v>
      </c>
      <c r="O68" s="344">
        <f t="shared" si="16"/>
        <v>63574632.46424216</v>
      </c>
      <c r="P68" s="344">
        <f t="shared" si="16"/>
        <v>66497288.323562488</v>
      </c>
      <c r="Q68" s="344">
        <f t="shared" si="16"/>
        <v>69549151.817002803</v>
      </c>
      <c r="R68" s="344">
        <f t="shared" si="16"/>
        <v>72735935.082261994</v>
      </c>
      <c r="S68" s="344">
        <f t="shared" si="16"/>
        <v>76063602.784819648</v>
      </c>
      <c r="T68" s="344">
        <f t="shared" si="16"/>
        <v>79538383.281931579</v>
      </c>
      <c r="U68" s="344">
        <f t="shared" si="16"/>
        <v>83166780.280174285</v>
      </c>
      <c r="V68" s="344">
        <f t="shared" si="16"/>
        <v>86955585.00835754</v>
      </c>
      <c r="W68" s="344">
        <f t="shared" si="16"/>
        <v>90911888.928589076</v>
      </c>
      <c r="X68" s="344">
        <f t="shared" si="16"/>
        <v>95043097.009282276</v>
      </c>
      <c r="Y68" s="344">
        <f t="shared" si="16"/>
        <v>99356941.584950268</v>
      </c>
      <c r="Z68" s="344">
        <f t="shared" si="16"/>
        <v>103861496.8287272</v>
      </c>
      <c r="AA68" s="344">
        <f t="shared" si="16"/>
        <v>108565193.86470497</v>
      </c>
      <c r="AB68" s="344">
        <f t="shared" si="16"/>
        <v>113476836.54837088</v>
      </c>
      <c r="AC68" s="344">
        <f t="shared" si="16"/>
        <v>118605617.94468252</v>
      </c>
      <c r="AD68" s="344">
        <f t="shared" si="16"/>
        <v>123961137.53462133</v>
      </c>
      <c r="AE68" s="344">
        <f t="shared" si="16"/>
        <v>129553419.18243042</v>
      </c>
      <c r="AF68" s="344">
        <f t="shared" si="16"/>
        <v>135392929.89716572</v>
      </c>
      <c r="AG68" s="344">
        <f t="shared" si="16"/>
        <v>141490599.42367598</v>
      </c>
      <c r="AH68" s="344">
        <f t="shared" si="16"/>
        <v>147857840.69968033</v>
      </c>
      <c r="AI68" s="344">
        <f t="shared" si="16"/>
        <v>154506571.21723193</v>
      </c>
      <c r="AJ68" s="344">
        <f t="shared" si="16"/>
        <v>161449235.32855058</v>
      </c>
      <c r="AK68" s="344">
        <f t="shared" si="16"/>
        <v>168698827.53797311</v>
      </c>
      <c r="AL68" s="344">
        <f t="shared" si="16"/>
        <v>176268916.82361731</v>
      </c>
      <c r="AM68" s="344">
        <f t="shared" si="16"/>
        <v>184173672.03428176</v>
      </c>
      <c r="AN68" s="344">
        <f t="shared" si="16"/>
        <v>192427888.40911669</v>
      </c>
      <c r="AO68" s="344">
        <f t="shared" si="16"/>
        <v>201047015.26970243</v>
      </c>
      <c r="AP68" s="344">
        <f>AP66+AP67</f>
        <v>210047184.93636641</v>
      </c>
      <c r="AQ68" s="231">
        <v>25</v>
      </c>
      <c r="AR68" s="231">
        <v>30</v>
      </c>
      <c r="AS68" s="231">
        <v>40</v>
      </c>
    </row>
    <row r="69" spans="1:45" x14ac:dyDescent="0.2">
      <c r="A69" s="120" t="s">
        <v>221</v>
      </c>
      <c r="B69" s="343">
        <f t="shared" ref="B69:AO69" si="17">-B56</f>
        <v>0</v>
      </c>
      <c r="C69" s="343">
        <f t="shared" si="17"/>
        <v>0</v>
      </c>
      <c r="D69" s="343">
        <f t="shared" si="17"/>
        <v>0</v>
      </c>
      <c r="E69" s="343">
        <f t="shared" si="17"/>
        <v>0</v>
      </c>
      <c r="F69" s="343">
        <f t="shared" si="17"/>
        <v>0</v>
      </c>
      <c r="G69" s="343">
        <f t="shared" si="17"/>
        <v>0</v>
      </c>
      <c r="H69" s="343">
        <f t="shared" si="17"/>
        <v>0</v>
      </c>
      <c r="I69" s="343">
        <f t="shared" si="17"/>
        <v>0</v>
      </c>
      <c r="J69" s="343">
        <f t="shared" si="17"/>
        <v>0</v>
      </c>
      <c r="K69" s="343">
        <f t="shared" si="17"/>
        <v>0</v>
      </c>
      <c r="L69" s="343">
        <f t="shared" si="17"/>
        <v>0</v>
      </c>
      <c r="M69" s="343">
        <f t="shared" si="17"/>
        <v>0</v>
      </c>
      <c r="N69" s="343">
        <f t="shared" si="17"/>
        <v>0</v>
      </c>
      <c r="O69" s="343">
        <f t="shared" si="17"/>
        <v>0</v>
      </c>
      <c r="P69" s="343">
        <f t="shared" si="17"/>
        <v>0</v>
      </c>
      <c r="Q69" s="343">
        <f t="shared" si="17"/>
        <v>0</v>
      </c>
      <c r="R69" s="343">
        <f t="shared" si="17"/>
        <v>0</v>
      </c>
      <c r="S69" s="343">
        <f t="shared" si="17"/>
        <v>0</v>
      </c>
      <c r="T69" s="343">
        <f t="shared" si="17"/>
        <v>0</v>
      </c>
      <c r="U69" s="343">
        <f t="shared" si="17"/>
        <v>0</v>
      </c>
      <c r="V69" s="343">
        <f t="shared" si="17"/>
        <v>0</v>
      </c>
      <c r="W69" s="343">
        <f t="shared" si="17"/>
        <v>0</v>
      </c>
      <c r="X69" s="343">
        <f t="shared" si="17"/>
        <v>0</v>
      </c>
      <c r="Y69" s="343">
        <f t="shared" si="17"/>
        <v>0</v>
      </c>
      <c r="Z69" s="343">
        <f t="shared" si="17"/>
        <v>0</v>
      </c>
      <c r="AA69" s="343">
        <f t="shared" si="17"/>
        <v>0</v>
      </c>
      <c r="AB69" s="343">
        <f t="shared" si="17"/>
        <v>0</v>
      </c>
      <c r="AC69" s="343">
        <f t="shared" si="17"/>
        <v>0</v>
      </c>
      <c r="AD69" s="343">
        <f t="shared" si="17"/>
        <v>0</v>
      </c>
      <c r="AE69" s="343">
        <f t="shared" si="17"/>
        <v>0</v>
      </c>
      <c r="AF69" s="343">
        <f t="shared" si="17"/>
        <v>0</v>
      </c>
      <c r="AG69" s="343">
        <f t="shared" si="17"/>
        <v>0</v>
      </c>
      <c r="AH69" s="343">
        <f t="shared" si="17"/>
        <v>0</v>
      </c>
      <c r="AI69" s="343">
        <f t="shared" si="17"/>
        <v>0</v>
      </c>
      <c r="AJ69" s="343">
        <f t="shared" si="17"/>
        <v>0</v>
      </c>
      <c r="AK69" s="343">
        <f t="shared" si="17"/>
        <v>0</v>
      </c>
      <c r="AL69" s="343">
        <f t="shared" si="17"/>
        <v>0</v>
      </c>
      <c r="AM69" s="343">
        <f t="shared" si="17"/>
        <v>0</v>
      </c>
      <c r="AN69" s="343">
        <f t="shared" si="17"/>
        <v>0</v>
      </c>
      <c r="AO69" s="343">
        <f t="shared" si="17"/>
        <v>0</v>
      </c>
      <c r="AP69" s="343">
        <f>-AP56</f>
        <v>0</v>
      </c>
    </row>
    <row r="70" spans="1:45" ht="14.25" x14ac:dyDescent="0.2">
      <c r="A70" s="284" t="s">
        <v>225</v>
      </c>
      <c r="B70" s="344">
        <f t="shared" ref="B70:AO70" si="18">B68+B69</f>
        <v>65227327.160000004</v>
      </c>
      <c r="C70" s="344">
        <f t="shared" si="18"/>
        <v>0</v>
      </c>
      <c r="D70" s="344">
        <f t="shared" si="18"/>
        <v>9511333.5135825071</v>
      </c>
      <c r="E70" s="344">
        <f t="shared" si="18"/>
        <v>24830526.618051976</v>
      </c>
      <c r="F70" s="344">
        <f t="shared" si="18"/>
        <v>45520109.250314817</v>
      </c>
      <c r="G70" s="344">
        <f t="shared" si="18"/>
        <v>46625677.524050333</v>
      </c>
      <c r="H70" s="344">
        <f t="shared" si="18"/>
        <v>46302330.000292465</v>
      </c>
      <c r="I70" s="344">
        <f t="shared" si="18"/>
        <v>48461394.987271383</v>
      </c>
      <c r="J70" s="344">
        <f t="shared" si="18"/>
        <v>50715910.034848183</v>
      </c>
      <c r="K70" s="344">
        <f t="shared" si="18"/>
        <v>53070094.892832659</v>
      </c>
      <c r="L70" s="344">
        <f t="shared" si="18"/>
        <v>55528355.861869119</v>
      </c>
      <c r="M70" s="344">
        <f t="shared" si="18"/>
        <v>58095294.040658422</v>
      </c>
      <c r="N70" s="344">
        <f t="shared" si="18"/>
        <v>60775713.937781416</v>
      </c>
      <c r="O70" s="344">
        <f t="shared" si="18"/>
        <v>63574632.46424216</v>
      </c>
      <c r="P70" s="344">
        <f t="shared" si="18"/>
        <v>66497288.323562488</v>
      </c>
      <c r="Q70" s="344">
        <f t="shared" si="18"/>
        <v>69549151.817002803</v>
      </c>
      <c r="R70" s="344">
        <f t="shared" si="18"/>
        <v>72735935.082261994</v>
      </c>
      <c r="S70" s="344">
        <f t="shared" si="18"/>
        <v>76063602.784819648</v>
      </c>
      <c r="T70" s="344">
        <f t="shared" si="18"/>
        <v>79538383.281931579</v>
      </c>
      <c r="U70" s="344">
        <f t="shared" si="18"/>
        <v>83166780.280174285</v>
      </c>
      <c r="V70" s="344">
        <f t="shared" si="18"/>
        <v>86955585.00835754</v>
      </c>
      <c r="W70" s="344">
        <f t="shared" si="18"/>
        <v>90911888.928589076</v>
      </c>
      <c r="X70" s="344">
        <f t="shared" si="18"/>
        <v>95043097.009282276</v>
      </c>
      <c r="Y70" s="344">
        <f t="shared" si="18"/>
        <v>99356941.584950268</v>
      </c>
      <c r="Z70" s="344">
        <f t="shared" si="18"/>
        <v>103861496.8287272</v>
      </c>
      <c r="AA70" s="344">
        <f t="shared" si="18"/>
        <v>108565193.86470497</v>
      </c>
      <c r="AB70" s="344">
        <f t="shared" si="18"/>
        <v>113476836.54837088</v>
      </c>
      <c r="AC70" s="344">
        <f t="shared" si="18"/>
        <v>118605617.94468252</v>
      </c>
      <c r="AD70" s="344">
        <f t="shared" si="18"/>
        <v>123961137.53462133</v>
      </c>
      <c r="AE70" s="344">
        <f t="shared" si="18"/>
        <v>129553419.18243042</v>
      </c>
      <c r="AF70" s="344">
        <f t="shared" si="18"/>
        <v>135392929.89716572</v>
      </c>
      <c r="AG70" s="344">
        <f t="shared" si="18"/>
        <v>141490599.42367598</v>
      </c>
      <c r="AH70" s="344">
        <f t="shared" si="18"/>
        <v>147857840.69968033</v>
      </c>
      <c r="AI70" s="344">
        <f t="shared" si="18"/>
        <v>154506571.21723193</v>
      </c>
      <c r="AJ70" s="344">
        <f t="shared" si="18"/>
        <v>161449235.32855058</v>
      </c>
      <c r="AK70" s="344">
        <f t="shared" si="18"/>
        <v>168698827.53797311</v>
      </c>
      <c r="AL70" s="344">
        <f t="shared" si="18"/>
        <v>176268916.82361731</v>
      </c>
      <c r="AM70" s="344">
        <f t="shared" si="18"/>
        <v>184173672.03428176</v>
      </c>
      <c r="AN70" s="344">
        <f t="shared" si="18"/>
        <v>192427888.40911669</v>
      </c>
      <c r="AO70" s="344">
        <f t="shared" si="18"/>
        <v>201047015.26970243</v>
      </c>
      <c r="AP70" s="344">
        <f>AP68+AP69</f>
        <v>210047184.93636641</v>
      </c>
    </row>
    <row r="71" spans="1:45" x14ac:dyDescent="0.2">
      <c r="A71" s="120" t="s">
        <v>220</v>
      </c>
      <c r="B71" s="343">
        <f t="shared" ref="B71:AP71" si="19">-B70*$B$36</f>
        <v>-13045465.432000002</v>
      </c>
      <c r="C71" s="343">
        <f t="shared" si="19"/>
        <v>0</v>
      </c>
      <c r="D71" s="343">
        <f t="shared" si="19"/>
        <v>-1902266.7027165014</v>
      </c>
      <c r="E71" s="343">
        <f t="shared" si="19"/>
        <v>-4966105.3236103952</v>
      </c>
      <c r="F71" s="343">
        <f t="shared" si="19"/>
        <v>-9104021.8500629645</v>
      </c>
      <c r="G71" s="343">
        <f t="shared" si="19"/>
        <v>-9325135.5048100669</v>
      </c>
      <c r="H71" s="343">
        <f t="shared" si="19"/>
        <v>-9260466.0000584926</v>
      </c>
      <c r="I71" s="343">
        <f t="shared" si="19"/>
        <v>-9692278.9974542763</v>
      </c>
      <c r="J71" s="343">
        <f t="shared" si="19"/>
        <v>-10143182.006969638</v>
      </c>
      <c r="K71" s="343">
        <f t="shared" si="19"/>
        <v>-10614018.978566533</v>
      </c>
      <c r="L71" s="343">
        <f t="shared" si="19"/>
        <v>-11105671.172373824</v>
      </c>
      <c r="M71" s="343">
        <f t="shared" si="19"/>
        <v>-11619058.808131685</v>
      </c>
      <c r="N71" s="343">
        <f t="shared" si="19"/>
        <v>-12155142.787556283</v>
      </c>
      <c r="O71" s="343">
        <f t="shared" si="19"/>
        <v>-12714926.492848434</v>
      </c>
      <c r="P71" s="343">
        <f t="shared" si="19"/>
        <v>-13299457.664712498</v>
      </c>
      <c r="Q71" s="343">
        <f t="shared" si="19"/>
        <v>-13909830.363400562</v>
      </c>
      <c r="R71" s="343">
        <f t="shared" si="19"/>
        <v>-14547187.0164524</v>
      </c>
      <c r="S71" s="343">
        <f t="shared" si="19"/>
        <v>-15212720.55696393</v>
      </c>
      <c r="T71" s="343">
        <f t="shared" si="19"/>
        <v>-15907676.656386316</v>
      </c>
      <c r="U71" s="343">
        <f t="shared" si="19"/>
        <v>-16633356.056034857</v>
      </c>
      <c r="V71" s="343">
        <f t="shared" si="19"/>
        <v>-17391117.001671508</v>
      </c>
      <c r="W71" s="343">
        <f t="shared" si="19"/>
        <v>-18182377.785717815</v>
      </c>
      <c r="X71" s="343">
        <f t="shared" si="19"/>
        <v>-19008619.401856456</v>
      </c>
      <c r="Y71" s="343">
        <f t="shared" si="19"/>
        <v>-19871388.316990055</v>
      </c>
      <c r="Z71" s="343">
        <f t="shared" si="19"/>
        <v>-20772299.36574544</v>
      </c>
      <c r="AA71" s="343">
        <f t="shared" si="19"/>
        <v>-21713038.772940993</v>
      </c>
      <c r="AB71" s="343">
        <f t="shared" si="19"/>
        <v>-22695367.309674177</v>
      </c>
      <c r="AC71" s="343">
        <f t="shared" si="19"/>
        <v>-23721123.588936508</v>
      </c>
      <c r="AD71" s="343">
        <f t="shared" si="19"/>
        <v>-24792227.506924268</v>
      </c>
      <c r="AE71" s="343">
        <f t="shared" si="19"/>
        <v>-25910683.836486086</v>
      </c>
      <c r="AF71" s="343">
        <f t="shared" si="19"/>
        <v>-27078585.979433145</v>
      </c>
      <c r="AG71" s="343">
        <f t="shared" si="19"/>
        <v>-28298119.884735197</v>
      </c>
      <c r="AH71" s="343">
        <f t="shared" si="19"/>
        <v>-29571568.139936067</v>
      </c>
      <c r="AI71" s="343">
        <f t="shared" si="19"/>
        <v>-30901314.243446387</v>
      </c>
      <c r="AJ71" s="343">
        <f t="shared" si="19"/>
        <v>-32289847.065710116</v>
      </c>
      <c r="AK71" s="343">
        <f t="shared" si="19"/>
        <v>-33739765.507594623</v>
      </c>
      <c r="AL71" s="343">
        <f t="shared" si="19"/>
        <v>-35253783.364723466</v>
      </c>
      <c r="AM71" s="343">
        <f t="shared" si="19"/>
        <v>-36834734.406856351</v>
      </c>
      <c r="AN71" s="343">
        <f t="shared" si="19"/>
        <v>-38485577.681823336</v>
      </c>
      <c r="AO71" s="343">
        <f t="shared" si="19"/>
        <v>-40209403.05394049</v>
      </c>
      <c r="AP71" s="343">
        <f t="shared" si="19"/>
        <v>-42009436.987273283</v>
      </c>
    </row>
    <row r="72" spans="1:45" ht="15" thickBot="1" x14ac:dyDescent="0.25">
      <c r="A72" s="287" t="s">
        <v>224</v>
      </c>
      <c r="B72" s="119">
        <f t="shared" ref="B72:AO72" si="20">B70+B71</f>
        <v>52181861.728</v>
      </c>
      <c r="C72" s="119">
        <f t="shared" si="20"/>
        <v>0</v>
      </c>
      <c r="D72" s="119">
        <f t="shared" si="20"/>
        <v>7609066.8108660057</v>
      </c>
      <c r="E72" s="119">
        <f t="shared" si="20"/>
        <v>19864421.294441581</v>
      </c>
      <c r="F72" s="119">
        <f t="shared" si="20"/>
        <v>36416087.40025185</v>
      </c>
      <c r="G72" s="119">
        <f t="shared" si="20"/>
        <v>37300542.019240268</v>
      </c>
      <c r="H72" s="119">
        <f t="shared" si="20"/>
        <v>37041864.000233971</v>
      </c>
      <c r="I72" s="119">
        <f t="shared" si="20"/>
        <v>38769115.989817105</v>
      </c>
      <c r="J72" s="119">
        <f t="shared" si="20"/>
        <v>40572728.027878545</v>
      </c>
      <c r="K72" s="119">
        <f t="shared" si="20"/>
        <v>42456075.914266124</v>
      </c>
      <c r="L72" s="119">
        <f t="shared" si="20"/>
        <v>44422684.689495295</v>
      </c>
      <c r="M72" s="119">
        <f t="shared" si="20"/>
        <v>46476235.232526734</v>
      </c>
      <c r="N72" s="119">
        <f t="shared" si="20"/>
        <v>48620571.150225133</v>
      </c>
      <c r="O72" s="119">
        <f t="shared" si="20"/>
        <v>50859705.971393727</v>
      </c>
      <c r="P72" s="119">
        <f t="shared" si="20"/>
        <v>53197830.658849992</v>
      </c>
      <c r="Q72" s="119">
        <f t="shared" si="20"/>
        <v>55639321.453602239</v>
      </c>
      <c r="R72" s="119">
        <f t="shared" si="20"/>
        <v>58188748.065809593</v>
      </c>
      <c r="S72" s="119">
        <f t="shared" si="20"/>
        <v>60850882.22785572</v>
      </c>
      <c r="T72" s="119">
        <f t="shared" si="20"/>
        <v>63630706.625545263</v>
      </c>
      <c r="U72" s="119">
        <f t="shared" si="20"/>
        <v>66533424.22413943</v>
      </c>
      <c r="V72" s="119">
        <f t="shared" si="20"/>
        <v>69564468.006686032</v>
      </c>
      <c r="W72" s="119">
        <f t="shared" si="20"/>
        <v>72729511.142871261</v>
      </c>
      <c r="X72" s="119">
        <f t="shared" si="20"/>
        <v>76034477.607425824</v>
      </c>
      <c r="Y72" s="119">
        <f t="shared" si="20"/>
        <v>79485553.267960221</v>
      </c>
      <c r="Z72" s="119">
        <f t="shared" si="20"/>
        <v>83089197.462981761</v>
      </c>
      <c r="AA72" s="119">
        <f t="shared" si="20"/>
        <v>86852155.091763973</v>
      </c>
      <c r="AB72" s="119">
        <f t="shared" si="20"/>
        <v>90781469.238696709</v>
      </c>
      <c r="AC72" s="119">
        <f t="shared" si="20"/>
        <v>94884494.355746016</v>
      </c>
      <c r="AD72" s="119">
        <f t="shared" si="20"/>
        <v>99168910.027697057</v>
      </c>
      <c r="AE72" s="119">
        <f t="shared" si="20"/>
        <v>103642735.34594433</v>
      </c>
      <c r="AF72" s="119">
        <f t="shared" si="20"/>
        <v>108314343.91773257</v>
      </c>
      <c r="AG72" s="119">
        <f t="shared" si="20"/>
        <v>113192479.53894079</v>
      </c>
      <c r="AH72" s="119">
        <f t="shared" si="20"/>
        <v>118286272.55974427</v>
      </c>
      <c r="AI72" s="119">
        <f t="shared" si="20"/>
        <v>123605256.97378555</v>
      </c>
      <c r="AJ72" s="119">
        <f t="shared" si="20"/>
        <v>129159388.26284046</v>
      </c>
      <c r="AK72" s="119">
        <f t="shared" si="20"/>
        <v>134959062.03037849</v>
      </c>
      <c r="AL72" s="119">
        <f t="shared" si="20"/>
        <v>141015133.45889384</v>
      </c>
      <c r="AM72" s="119">
        <f t="shared" si="20"/>
        <v>147338937.6274254</v>
      </c>
      <c r="AN72" s="119">
        <f t="shared" si="20"/>
        <v>153942310.72729334</v>
      </c>
      <c r="AO72" s="119">
        <f t="shared" si="20"/>
        <v>160837612.21576196</v>
      </c>
      <c r="AP72" s="119">
        <f>AP70+AP71</f>
        <v>168037747.94909313</v>
      </c>
    </row>
    <row r="73" spans="1:45" s="289" customFormat="1" ht="16.5" thickBot="1" x14ac:dyDescent="0.25">
      <c r="A73" s="280"/>
      <c r="B73" s="420">
        <f>B141</f>
        <v>0.5</v>
      </c>
      <c r="C73" s="420">
        <f>C141</f>
        <v>1.5</v>
      </c>
      <c r="D73" s="420">
        <f t="shared" ref="D73:M73" si="21">D141</f>
        <v>2.5</v>
      </c>
      <c r="E73" s="420">
        <f t="shared" si="21"/>
        <v>3.5</v>
      </c>
      <c r="F73" s="420">
        <f t="shared" si="21"/>
        <v>4.5</v>
      </c>
      <c r="G73" s="420">
        <f t="shared" si="21"/>
        <v>5.5</v>
      </c>
      <c r="H73" s="420">
        <f t="shared" si="21"/>
        <v>6.5</v>
      </c>
      <c r="I73" s="420">
        <f t="shared" si="21"/>
        <v>7.5</v>
      </c>
      <c r="J73" s="420">
        <f t="shared" si="21"/>
        <v>8.5</v>
      </c>
      <c r="K73" s="420">
        <f t="shared" si="21"/>
        <v>9.5</v>
      </c>
      <c r="L73" s="420">
        <f t="shared" si="21"/>
        <v>10.5</v>
      </c>
      <c r="M73" s="420">
        <f t="shared" si="21"/>
        <v>11.5</v>
      </c>
      <c r="N73" s="288">
        <f t="shared" ref="N73:AP73" si="22">V141</f>
        <v>20.5</v>
      </c>
      <c r="O73" s="288">
        <f t="shared" si="22"/>
        <v>21.5</v>
      </c>
      <c r="P73" s="288">
        <f t="shared" si="22"/>
        <v>22.5</v>
      </c>
      <c r="Q73" s="288">
        <f t="shared" si="22"/>
        <v>23.5</v>
      </c>
      <c r="R73" s="288">
        <f t="shared" si="22"/>
        <v>24.5</v>
      </c>
      <c r="S73" s="288">
        <f t="shared" si="22"/>
        <v>25.5</v>
      </c>
      <c r="T73" s="288">
        <f t="shared" si="22"/>
        <v>26.5</v>
      </c>
      <c r="U73" s="288">
        <f t="shared" si="22"/>
        <v>27.5</v>
      </c>
      <c r="V73" s="288">
        <f t="shared" si="22"/>
        <v>28.5</v>
      </c>
      <c r="W73" s="288">
        <f t="shared" si="22"/>
        <v>29.5</v>
      </c>
      <c r="X73" s="288">
        <f t="shared" si="22"/>
        <v>30.5</v>
      </c>
      <c r="Y73" s="288">
        <f t="shared" si="22"/>
        <v>31.5</v>
      </c>
      <c r="Z73" s="288">
        <f t="shared" si="22"/>
        <v>32.5</v>
      </c>
      <c r="AA73" s="288">
        <f t="shared" si="22"/>
        <v>33.5</v>
      </c>
      <c r="AB73" s="288">
        <f t="shared" si="22"/>
        <v>34.5</v>
      </c>
      <c r="AC73" s="288">
        <f t="shared" si="22"/>
        <v>35.5</v>
      </c>
      <c r="AD73" s="288">
        <f t="shared" si="22"/>
        <v>36.5</v>
      </c>
      <c r="AE73" s="288">
        <f t="shared" si="22"/>
        <v>37.5</v>
      </c>
      <c r="AF73" s="288">
        <f t="shared" si="22"/>
        <v>38.5</v>
      </c>
      <c r="AG73" s="288">
        <f t="shared" si="22"/>
        <v>39.5</v>
      </c>
      <c r="AH73" s="288">
        <f t="shared" si="22"/>
        <v>40.5</v>
      </c>
      <c r="AI73" s="288">
        <f t="shared" si="22"/>
        <v>41.5</v>
      </c>
      <c r="AJ73" s="288">
        <f t="shared" si="22"/>
        <v>42.5</v>
      </c>
      <c r="AK73" s="288">
        <f t="shared" si="22"/>
        <v>43.5</v>
      </c>
      <c r="AL73" s="288">
        <f t="shared" si="22"/>
        <v>44.5</v>
      </c>
      <c r="AM73" s="288">
        <f t="shared" si="22"/>
        <v>45.5</v>
      </c>
      <c r="AN73" s="288">
        <f t="shared" si="22"/>
        <v>46.5</v>
      </c>
      <c r="AO73" s="288">
        <f t="shared" si="22"/>
        <v>47.5</v>
      </c>
      <c r="AP73" s="288">
        <f t="shared" si="22"/>
        <v>48.5</v>
      </c>
      <c r="AQ73" s="231"/>
      <c r="AR73" s="231"/>
      <c r="AS73" s="231"/>
    </row>
    <row r="74" spans="1:45" x14ac:dyDescent="0.2">
      <c r="A74" s="277" t="s">
        <v>223</v>
      </c>
      <c r="B74" s="117">
        <f t="shared" ref="B74:AO74" si="23">B58</f>
        <v>1</v>
      </c>
      <c r="C74" s="117">
        <f t="shared" si="23"/>
        <v>2</v>
      </c>
      <c r="D74" s="117">
        <f t="shared" si="23"/>
        <v>3</v>
      </c>
      <c r="E74" s="117">
        <f t="shared" si="23"/>
        <v>4</v>
      </c>
      <c r="F74" s="117">
        <f t="shared" si="23"/>
        <v>5</v>
      </c>
      <c r="G74" s="117">
        <f t="shared" si="23"/>
        <v>6</v>
      </c>
      <c r="H74" s="117">
        <f t="shared" si="23"/>
        <v>7</v>
      </c>
      <c r="I74" s="117">
        <f t="shared" si="23"/>
        <v>8</v>
      </c>
      <c r="J74" s="117">
        <f t="shared" si="23"/>
        <v>9</v>
      </c>
      <c r="K74" s="117">
        <f t="shared" si="23"/>
        <v>10</v>
      </c>
      <c r="L74" s="117">
        <f t="shared" si="23"/>
        <v>11</v>
      </c>
      <c r="M74" s="117">
        <f t="shared" si="23"/>
        <v>12</v>
      </c>
      <c r="N74" s="117">
        <f t="shared" si="23"/>
        <v>13</v>
      </c>
      <c r="O74" s="117">
        <f t="shared" si="23"/>
        <v>14</v>
      </c>
      <c r="P74" s="117">
        <f t="shared" si="23"/>
        <v>15</v>
      </c>
      <c r="Q74" s="117">
        <f t="shared" si="23"/>
        <v>16</v>
      </c>
      <c r="R74" s="117">
        <f t="shared" si="23"/>
        <v>17</v>
      </c>
      <c r="S74" s="117">
        <f t="shared" si="23"/>
        <v>18</v>
      </c>
      <c r="T74" s="117">
        <f t="shared" si="23"/>
        <v>19</v>
      </c>
      <c r="U74" s="117">
        <f t="shared" si="23"/>
        <v>20</v>
      </c>
      <c r="V74" s="117">
        <f t="shared" si="23"/>
        <v>21</v>
      </c>
      <c r="W74" s="117">
        <f t="shared" si="23"/>
        <v>22</v>
      </c>
      <c r="X74" s="117">
        <f t="shared" si="23"/>
        <v>23</v>
      </c>
      <c r="Y74" s="117">
        <f t="shared" si="23"/>
        <v>24</v>
      </c>
      <c r="Z74" s="117">
        <f t="shared" si="23"/>
        <v>25</v>
      </c>
      <c r="AA74" s="117">
        <f t="shared" si="23"/>
        <v>26</v>
      </c>
      <c r="AB74" s="117">
        <f t="shared" si="23"/>
        <v>27</v>
      </c>
      <c r="AC74" s="117">
        <f t="shared" si="23"/>
        <v>28</v>
      </c>
      <c r="AD74" s="117">
        <f t="shared" si="23"/>
        <v>29</v>
      </c>
      <c r="AE74" s="117">
        <f t="shared" si="23"/>
        <v>30</v>
      </c>
      <c r="AF74" s="117">
        <f t="shared" si="23"/>
        <v>31</v>
      </c>
      <c r="AG74" s="117">
        <f t="shared" si="23"/>
        <v>32</v>
      </c>
      <c r="AH74" s="117">
        <f t="shared" si="23"/>
        <v>33</v>
      </c>
      <c r="AI74" s="117">
        <f t="shared" si="23"/>
        <v>34</v>
      </c>
      <c r="AJ74" s="117">
        <f t="shared" si="23"/>
        <v>35</v>
      </c>
      <c r="AK74" s="117">
        <f t="shared" si="23"/>
        <v>36</v>
      </c>
      <c r="AL74" s="117">
        <f t="shared" si="23"/>
        <v>37</v>
      </c>
      <c r="AM74" s="117">
        <f t="shared" si="23"/>
        <v>38</v>
      </c>
      <c r="AN74" s="117">
        <f t="shared" si="23"/>
        <v>39</v>
      </c>
      <c r="AO74" s="117">
        <f t="shared" si="23"/>
        <v>40</v>
      </c>
      <c r="AP74" s="117">
        <f>AP58</f>
        <v>41</v>
      </c>
    </row>
    <row r="75" spans="1:45" ht="28.5" x14ac:dyDescent="0.2">
      <c r="A75" s="283" t="s">
        <v>543</v>
      </c>
      <c r="B75" s="344">
        <f t="shared" ref="B75:AO75" si="24">B68</f>
        <v>65227327.160000004</v>
      </c>
      <c r="C75" s="344">
        <f t="shared" si="24"/>
        <v>0</v>
      </c>
      <c r="D75" s="344">
        <f>D68</f>
        <v>9511333.5135825071</v>
      </c>
      <c r="E75" s="344">
        <f t="shared" si="24"/>
        <v>24830526.618051976</v>
      </c>
      <c r="F75" s="344">
        <f t="shared" si="24"/>
        <v>45520109.250314817</v>
      </c>
      <c r="G75" s="344">
        <f t="shared" si="24"/>
        <v>46625677.524050333</v>
      </c>
      <c r="H75" s="344">
        <f t="shared" si="24"/>
        <v>46302330.000292465</v>
      </c>
      <c r="I75" s="344">
        <f t="shared" si="24"/>
        <v>48461394.987271383</v>
      </c>
      <c r="J75" s="344">
        <f t="shared" si="24"/>
        <v>50715910.034848183</v>
      </c>
      <c r="K75" s="344">
        <f t="shared" si="24"/>
        <v>53070094.892832659</v>
      </c>
      <c r="L75" s="344">
        <f t="shared" si="24"/>
        <v>55528355.861869119</v>
      </c>
      <c r="M75" s="344">
        <f t="shared" si="24"/>
        <v>58095294.040658422</v>
      </c>
      <c r="N75" s="344">
        <f t="shared" si="24"/>
        <v>60775713.937781416</v>
      </c>
      <c r="O75" s="344">
        <f t="shared" si="24"/>
        <v>63574632.46424216</v>
      </c>
      <c r="P75" s="344">
        <f t="shared" si="24"/>
        <v>66497288.323562488</v>
      </c>
      <c r="Q75" s="344">
        <f t="shared" si="24"/>
        <v>69549151.817002803</v>
      </c>
      <c r="R75" s="344">
        <f t="shared" si="24"/>
        <v>72735935.082261994</v>
      </c>
      <c r="S75" s="344">
        <f t="shared" si="24"/>
        <v>76063602.784819648</v>
      </c>
      <c r="T75" s="344">
        <f t="shared" si="24"/>
        <v>79538383.281931579</v>
      </c>
      <c r="U75" s="344">
        <f t="shared" si="24"/>
        <v>83166780.280174285</v>
      </c>
      <c r="V75" s="344">
        <f t="shared" si="24"/>
        <v>86955585.00835754</v>
      </c>
      <c r="W75" s="344">
        <f t="shared" si="24"/>
        <v>90911888.928589076</v>
      </c>
      <c r="X75" s="344">
        <f t="shared" si="24"/>
        <v>95043097.009282276</v>
      </c>
      <c r="Y75" s="344">
        <f t="shared" si="24"/>
        <v>99356941.584950268</v>
      </c>
      <c r="Z75" s="344">
        <f t="shared" si="24"/>
        <v>103861496.8287272</v>
      </c>
      <c r="AA75" s="344">
        <f t="shared" si="24"/>
        <v>108565193.86470497</v>
      </c>
      <c r="AB75" s="344">
        <f t="shared" si="24"/>
        <v>113476836.54837088</v>
      </c>
      <c r="AC75" s="344">
        <f t="shared" si="24"/>
        <v>118605617.94468252</v>
      </c>
      <c r="AD75" s="344">
        <f t="shared" si="24"/>
        <v>123961137.53462133</v>
      </c>
      <c r="AE75" s="344">
        <f t="shared" si="24"/>
        <v>129553419.18243042</v>
      </c>
      <c r="AF75" s="344">
        <f t="shared" si="24"/>
        <v>135392929.89716572</v>
      </c>
      <c r="AG75" s="344">
        <f t="shared" si="24"/>
        <v>141490599.42367598</v>
      </c>
      <c r="AH75" s="344">
        <f t="shared" si="24"/>
        <v>147857840.69968033</v>
      </c>
      <c r="AI75" s="344">
        <f t="shared" si="24"/>
        <v>154506571.21723193</v>
      </c>
      <c r="AJ75" s="344">
        <f t="shared" si="24"/>
        <v>161449235.32855058</v>
      </c>
      <c r="AK75" s="344">
        <f t="shared" si="24"/>
        <v>168698827.53797311</v>
      </c>
      <c r="AL75" s="344">
        <f t="shared" si="24"/>
        <v>176268916.82361731</v>
      </c>
      <c r="AM75" s="344">
        <f t="shared" si="24"/>
        <v>184173672.03428176</v>
      </c>
      <c r="AN75" s="344">
        <f t="shared" si="24"/>
        <v>192427888.40911669</v>
      </c>
      <c r="AO75" s="344">
        <f t="shared" si="24"/>
        <v>201047015.26970243</v>
      </c>
      <c r="AP75" s="344">
        <f>AP68</f>
        <v>210047184.93636641</v>
      </c>
    </row>
    <row r="76" spans="1:45" x14ac:dyDescent="0.2">
      <c r="A76" s="120" t="s">
        <v>222</v>
      </c>
      <c r="B76" s="343">
        <f t="shared" ref="B76:AO76" si="25">-B67</f>
        <v>0</v>
      </c>
      <c r="C76" s="343">
        <f>-C67</f>
        <v>0</v>
      </c>
      <c r="D76" s="343">
        <f t="shared" si="25"/>
        <v>2535372.0273333336</v>
      </c>
      <c r="E76" s="343">
        <f t="shared" si="25"/>
        <v>2535372.0273333336</v>
      </c>
      <c r="F76" s="343">
        <f t="shared" si="25"/>
        <v>2535372.0273333336</v>
      </c>
      <c r="G76" s="343">
        <f t="shared" si="25"/>
        <v>2535372.0273333336</v>
      </c>
      <c r="H76" s="343">
        <f t="shared" si="25"/>
        <v>2535372.0273333336</v>
      </c>
      <c r="I76" s="343">
        <f t="shared" si="25"/>
        <v>2535372.0273333336</v>
      </c>
      <c r="J76" s="343">
        <f t="shared" si="25"/>
        <v>2535372.0273333336</v>
      </c>
      <c r="K76" s="343">
        <f t="shared" si="25"/>
        <v>2535372.0273333336</v>
      </c>
      <c r="L76" s="343">
        <f>-L67</f>
        <v>2535372.0273333336</v>
      </c>
      <c r="M76" s="343">
        <f>-M67</f>
        <v>2535372.0273333336</v>
      </c>
      <c r="N76" s="343">
        <f t="shared" si="25"/>
        <v>2535372.0273333336</v>
      </c>
      <c r="O76" s="343">
        <f t="shared" si="25"/>
        <v>2535372.0273333336</v>
      </c>
      <c r="P76" s="343">
        <f t="shared" si="25"/>
        <v>2535372.0273333336</v>
      </c>
      <c r="Q76" s="343">
        <f t="shared" si="25"/>
        <v>2535372.0273333336</v>
      </c>
      <c r="R76" s="343">
        <f t="shared" si="25"/>
        <v>2535372.0273333336</v>
      </c>
      <c r="S76" s="343">
        <f t="shared" si="25"/>
        <v>2535372.0273333336</v>
      </c>
      <c r="T76" s="343">
        <f t="shared" si="25"/>
        <v>2535372.0273333336</v>
      </c>
      <c r="U76" s="343">
        <f t="shared" si="25"/>
        <v>2535372.0273333336</v>
      </c>
      <c r="V76" s="343">
        <f t="shared" si="25"/>
        <v>2535372.0273333336</v>
      </c>
      <c r="W76" s="343">
        <f t="shared" si="25"/>
        <v>2535372.0273333336</v>
      </c>
      <c r="X76" s="343">
        <f t="shared" si="25"/>
        <v>2535372.0273333336</v>
      </c>
      <c r="Y76" s="343">
        <f t="shared" si="25"/>
        <v>2535372.0273333336</v>
      </c>
      <c r="Z76" s="343">
        <f t="shared" si="25"/>
        <v>2535372.0273333336</v>
      </c>
      <c r="AA76" s="343">
        <f t="shared" si="25"/>
        <v>2535372.0273333336</v>
      </c>
      <c r="AB76" s="343">
        <f t="shared" si="25"/>
        <v>2535372.0273333336</v>
      </c>
      <c r="AC76" s="343">
        <f t="shared" si="25"/>
        <v>2535372.0273333336</v>
      </c>
      <c r="AD76" s="343">
        <f t="shared" si="25"/>
        <v>2535372.0273333336</v>
      </c>
      <c r="AE76" s="343">
        <f t="shared" si="25"/>
        <v>2535372.0273333336</v>
      </c>
      <c r="AF76" s="343">
        <f t="shared" si="25"/>
        <v>2535372.0273333336</v>
      </c>
      <c r="AG76" s="343">
        <f t="shared" si="25"/>
        <v>2535372.0273333336</v>
      </c>
      <c r="AH76" s="343">
        <f t="shared" si="25"/>
        <v>2535372.0273333336</v>
      </c>
      <c r="AI76" s="343">
        <f t="shared" si="25"/>
        <v>2535372.0273333336</v>
      </c>
      <c r="AJ76" s="343">
        <f t="shared" si="25"/>
        <v>2535372.0273333336</v>
      </c>
      <c r="AK76" s="343">
        <f t="shared" si="25"/>
        <v>2535372.0273333336</v>
      </c>
      <c r="AL76" s="343">
        <f t="shared" si="25"/>
        <v>2535372.0273333336</v>
      </c>
      <c r="AM76" s="343">
        <f t="shared" si="25"/>
        <v>2535372.0273333336</v>
      </c>
      <c r="AN76" s="343">
        <f t="shared" si="25"/>
        <v>2535372.0273333336</v>
      </c>
      <c r="AO76" s="343">
        <f t="shared" si="25"/>
        <v>2535372.0273333336</v>
      </c>
      <c r="AP76" s="343">
        <f>-AP67</f>
        <v>2535372.0273333336</v>
      </c>
    </row>
    <row r="77" spans="1:45" x14ac:dyDescent="0.2">
      <c r="A77" s="120" t="s">
        <v>221</v>
      </c>
      <c r="B77" s="343">
        <f t="shared" ref="B77:AO77" si="26">B69</f>
        <v>0</v>
      </c>
      <c r="C77" s="343">
        <f t="shared" si="26"/>
        <v>0</v>
      </c>
      <c r="D77" s="343">
        <f t="shared" si="26"/>
        <v>0</v>
      </c>
      <c r="E77" s="343">
        <f t="shared" si="26"/>
        <v>0</v>
      </c>
      <c r="F77" s="343">
        <f t="shared" si="26"/>
        <v>0</v>
      </c>
      <c r="G77" s="343">
        <f t="shared" si="26"/>
        <v>0</v>
      </c>
      <c r="H77" s="343">
        <f t="shared" si="26"/>
        <v>0</v>
      </c>
      <c r="I77" s="343">
        <f t="shared" si="26"/>
        <v>0</v>
      </c>
      <c r="J77" s="343">
        <f t="shared" si="26"/>
        <v>0</v>
      </c>
      <c r="K77" s="343">
        <f t="shared" si="26"/>
        <v>0</v>
      </c>
      <c r="L77" s="343">
        <f t="shared" si="26"/>
        <v>0</v>
      </c>
      <c r="M77" s="343">
        <f t="shared" si="26"/>
        <v>0</v>
      </c>
      <c r="N77" s="343">
        <f t="shared" si="26"/>
        <v>0</v>
      </c>
      <c r="O77" s="343">
        <f t="shared" si="26"/>
        <v>0</v>
      </c>
      <c r="P77" s="343">
        <f t="shared" si="26"/>
        <v>0</v>
      </c>
      <c r="Q77" s="343">
        <f t="shared" si="26"/>
        <v>0</v>
      </c>
      <c r="R77" s="343">
        <f t="shared" si="26"/>
        <v>0</v>
      </c>
      <c r="S77" s="343">
        <f t="shared" si="26"/>
        <v>0</v>
      </c>
      <c r="T77" s="343">
        <f t="shared" si="26"/>
        <v>0</v>
      </c>
      <c r="U77" s="343">
        <f t="shared" si="26"/>
        <v>0</v>
      </c>
      <c r="V77" s="343">
        <f t="shared" si="26"/>
        <v>0</v>
      </c>
      <c r="W77" s="343">
        <f t="shared" si="26"/>
        <v>0</v>
      </c>
      <c r="X77" s="343">
        <f t="shared" si="26"/>
        <v>0</v>
      </c>
      <c r="Y77" s="343">
        <f t="shared" si="26"/>
        <v>0</v>
      </c>
      <c r="Z77" s="343">
        <f t="shared" si="26"/>
        <v>0</v>
      </c>
      <c r="AA77" s="343">
        <f t="shared" si="26"/>
        <v>0</v>
      </c>
      <c r="AB77" s="343">
        <f t="shared" si="26"/>
        <v>0</v>
      </c>
      <c r="AC77" s="343">
        <f t="shared" si="26"/>
        <v>0</v>
      </c>
      <c r="AD77" s="343">
        <f t="shared" si="26"/>
        <v>0</v>
      </c>
      <c r="AE77" s="343">
        <f t="shared" si="26"/>
        <v>0</v>
      </c>
      <c r="AF77" s="343">
        <f t="shared" si="26"/>
        <v>0</v>
      </c>
      <c r="AG77" s="343">
        <f t="shared" si="26"/>
        <v>0</v>
      </c>
      <c r="AH77" s="343">
        <f t="shared" si="26"/>
        <v>0</v>
      </c>
      <c r="AI77" s="343">
        <f t="shared" si="26"/>
        <v>0</v>
      </c>
      <c r="AJ77" s="343">
        <f t="shared" si="26"/>
        <v>0</v>
      </c>
      <c r="AK77" s="343">
        <f t="shared" si="26"/>
        <v>0</v>
      </c>
      <c r="AL77" s="343">
        <f t="shared" si="26"/>
        <v>0</v>
      </c>
      <c r="AM77" s="343">
        <f t="shared" si="26"/>
        <v>0</v>
      </c>
      <c r="AN77" s="343">
        <f t="shared" si="26"/>
        <v>0</v>
      </c>
      <c r="AO77" s="343">
        <f t="shared" si="26"/>
        <v>0</v>
      </c>
      <c r="AP77" s="343">
        <f>AP69</f>
        <v>0</v>
      </c>
    </row>
    <row r="78" spans="1:45" x14ac:dyDescent="0.2">
      <c r="A78" s="120" t="s">
        <v>220</v>
      </c>
      <c r="B78" s="343">
        <f>IF(SUM($B$71:B71)+SUM($A$78:A78)&gt;0,0,SUM($B$71:B71)-SUM($A$78:A78))</f>
        <v>-13045465.432000002</v>
      </c>
      <c r="C78" s="343">
        <f>IF(SUM($B$71:C71)+SUM($A$78:B78)&gt;0,0,SUM($B$71:C71)-SUM($A$78:B78))</f>
        <v>0</v>
      </c>
      <c r="D78" s="343">
        <f>IF(SUM($B$71:D71)+SUM($A$78:C78)&gt;0,0,SUM($B$71:D71)-SUM($A$78:C78))</f>
        <v>-1902266.7027165014</v>
      </c>
      <c r="E78" s="343">
        <f>IF(SUM($B$71:E71)+SUM($A$78:D78)&gt;0,0,SUM($B$71:E71)-SUM($A$78:D78))</f>
        <v>-4966105.3236103952</v>
      </c>
      <c r="F78" s="343">
        <f>IF(SUM($B$71:F71)+SUM($A$78:E78)&gt;0,0,SUM($B$71:F71)-SUM($A$78:E78))</f>
        <v>-9104021.8500629663</v>
      </c>
      <c r="G78" s="343">
        <f>IF(SUM($B$71:G71)+SUM($A$78:F78)&gt;0,0,SUM($B$71:G71)-SUM($A$78:F78))</f>
        <v>-9325135.504810065</v>
      </c>
      <c r="H78" s="343">
        <f>IF(SUM($B$71:H71)+SUM($A$78:G78)&gt;0,0,SUM($B$71:H71)-SUM($A$78:G78))</f>
        <v>-9260466.0000584945</v>
      </c>
      <c r="I78" s="343">
        <f>IF(SUM($B$71:I71)+SUM($A$78:H78)&gt;0,0,SUM($B$71:I71)-SUM($A$78:H78))</f>
        <v>-9692278.9974542782</v>
      </c>
      <c r="J78" s="343">
        <f>IF(SUM($B$71:J71)+SUM($A$78:I78)&gt;0,0,SUM($B$71:J71)-SUM($A$78:I78))</f>
        <v>-10143182.006969638</v>
      </c>
      <c r="K78" s="343">
        <f>IF(SUM($B$71:K71)+SUM($A$78:J78)&gt;0,0,SUM($B$71:K71)-SUM($A$78:J78))</f>
        <v>-10614018.978566527</v>
      </c>
      <c r="L78" s="343">
        <f>IF(SUM($B$71:L71)+SUM($A$78:K78)&gt;0,0,SUM($B$71:L71)-SUM($A$78:K78))</f>
        <v>-11105671.172373816</v>
      </c>
      <c r="M78" s="343">
        <f>IF(SUM($B$71:M71)+SUM($A$78:L78)&gt;0,0,SUM($B$71:M71)-SUM($A$78:L78))</f>
        <v>-11619058.80813168</v>
      </c>
      <c r="N78" s="343">
        <f>IF(SUM($B$71:N71)+SUM($A$78:M78)&gt;0,0,SUM($B$71:N71)-SUM($A$78:M78))</f>
        <v>-12155142.787556276</v>
      </c>
      <c r="O78" s="343">
        <f>IF(SUM($B$71:O71)+SUM($A$78:N78)&gt;0,0,SUM($B$71:O71)-SUM($A$78:N78))</f>
        <v>-12714926.492848426</v>
      </c>
      <c r="P78" s="343">
        <f>IF(SUM($B$71:P71)+SUM($A$78:O78)&gt;0,0,SUM($B$71:P71)-SUM($A$78:O78))</f>
        <v>-13299457.664712489</v>
      </c>
      <c r="Q78" s="343">
        <f>IF(SUM($B$71:Q71)+SUM($A$78:P78)&gt;0,0,SUM($B$71:Q71)-SUM($A$78:P78))</f>
        <v>-13909830.363400549</v>
      </c>
      <c r="R78" s="343">
        <f>IF(SUM($B$71:R71)+SUM($A$78:Q78)&gt;0,0,SUM($B$71:R71)-SUM($A$78:Q78))</f>
        <v>-14547187.016452402</v>
      </c>
      <c r="S78" s="343">
        <f>IF(SUM($B$71:S71)+SUM($A$78:R78)&gt;0,0,SUM($B$71:S71)-SUM($A$78:R78))</f>
        <v>-15212720.556963921</v>
      </c>
      <c r="T78" s="343">
        <f>IF(SUM($B$71:T71)+SUM($A$78:S78)&gt;0,0,SUM($B$71:T71)-SUM($A$78:S78))</f>
        <v>-15907676.656386316</v>
      </c>
      <c r="U78" s="343">
        <f>IF(SUM($B$71:U71)+SUM($A$78:T78)&gt;0,0,SUM($B$71:U71)-SUM($A$78:T78))</f>
        <v>-16633356.056034863</v>
      </c>
      <c r="V78" s="343">
        <f>IF(SUM($B$71:V71)+SUM($A$78:U78)&gt;0,0,SUM($B$71:V71)-SUM($A$78:U78))</f>
        <v>-17391117.001671493</v>
      </c>
      <c r="W78" s="343">
        <f>IF(SUM($B$71:W71)+SUM($A$78:V78)&gt;0,0,SUM($B$71:W71)-SUM($A$78:V78))</f>
        <v>-18182377.785717815</v>
      </c>
      <c r="X78" s="343">
        <f>IF(SUM($B$71:X71)+SUM($A$78:W78)&gt;0,0,SUM($B$71:X71)-SUM($A$78:W78))</f>
        <v>-19008619.401856452</v>
      </c>
      <c r="Y78" s="343">
        <f>IF(SUM($B$71:Y71)+SUM($A$78:X78)&gt;0,0,SUM($B$71:Y71)-SUM($A$78:X78))</f>
        <v>-19871388.316990077</v>
      </c>
      <c r="Z78" s="343">
        <f>IF(SUM($B$71:Z71)+SUM($A$78:Y78)&gt;0,0,SUM($B$71:Z71)-SUM($A$78:Y78))</f>
        <v>-20772299.365745425</v>
      </c>
      <c r="AA78" s="343">
        <f>IF(SUM($B$71:AA71)+SUM($A$78:Z78)&gt;0,0,SUM($B$71:AA71)-SUM($A$78:Z78))</f>
        <v>-21713038.772940993</v>
      </c>
      <c r="AB78" s="343">
        <f>IF(SUM($B$71:AB71)+SUM($A$78:AA78)&gt;0,0,SUM($B$71:AB71)-SUM($A$78:AA78))</f>
        <v>-22695367.309674203</v>
      </c>
      <c r="AC78" s="343">
        <f>IF(SUM($B$71:AC71)+SUM($A$78:AB78)&gt;0,0,SUM($B$71:AC71)-SUM($A$78:AB78))</f>
        <v>-23721123.588936508</v>
      </c>
      <c r="AD78" s="343">
        <f>IF(SUM($B$71:AD71)+SUM($A$78:AC78)&gt;0,0,SUM($B$71:AD71)-SUM($A$78:AC78))</f>
        <v>-24792227.506924272</v>
      </c>
      <c r="AE78" s="343">
        <f>IF(SUM($B$71:AE71)+SUM($A$78:AD78)&gt;0,0,SUM($B$71:AE71)-SUM($A$78:AD78))</f>
        <v>-25910683.836486101</v>
      </c>
      <c r="AF78" s="343">
        <f>IF(SUM($B$71:AF71)+SUM($A$78:AE78)&gt;0,0,SUM($B$71:AF71)-SUM($A$78:AE78))</f>
        <v>-27078585.979433119</v>
      </c>
      <c r="AG78" s="343">
        <f>IF(SUM($B$71:AG71)+SUM($A$78:AF78)&gt;0,0,SUM($B$71:AG71)-SUM($A$78:AF78))</f>
        <v>-28298119.884735167</v>
      </c>
      <c r="AH78" s="343">
        <f>IF(SUM($B$71:AH71)+SUM($A$78:AG78)&gt;0,0,SUM($B$71:AH71)-SUM($A$78:AG78))</f>
        <v>-29571568.13993609</v>
      </c>
      <c r="AI78" s="343">
        <f>IF(SUM($B$71:AI71)+SUM($A$78:AH78)&gt;0,0,SUM($B$71:AI71)-SUM($A$78:AH78))</f>
        <v>-30901314.24344635</v>
      </c>
      <c r="AJ78" s="343">
        <f>IF(SUM($B$71:AJ71)+SUM($A$78:AI78)&gt;0,0,SUM($B$71:AJ71)-SUM($A$78:AI78))</f>
        <v>-32289847.065710068</v>
      </c>
      <c r="AK78" s="343">
        <f>IF(SUM($B$71:AK71)+SUM($A$78:AJ78)&gt;0,0,SUM($B$71:AK71)-SUM($A$78:AJ78))</f>
        <v>-33739765.507594585</v>
      </c>
      <c r="AL78" s="343">
        <f>IF(SUM($B$71:AL71)+SUM($A$78:AK78)&gt;0,0,SUM($B$71:AL71)-SUM($A$78:AK78))</f>
        <v>-35253783.364723444</v>
      </c>
      <c r="AM78" s="343">
        <f>IF(SUM($B$71:AM71)+SUM($A$78:AL78)&gt;0,0,SUM($B$71:AM71)-SUM($A$78:AL78))</f>
        <v>-36834734.406856298</v>
      </c>
      <c r="AN78" s="343">
        <f>IF(SUM($B$71:AN71)+SUM($A$78:AM78)&gt;0,0,SUM($B$71:AN71)-SUM($A$78:AM78))</f>
        <v>-38485577.681823373</v>
      </c>
      <c r="AO78" s="343">
        <f>IF(SUM($B$71:AO71)+SUM($A$78:AN78)&gt;0,0,SUM($B$71:AO71)-SUM($A$78:AN78))</f>
        <v>-40209403.053940535</v>
      </c>
      <c r="AP78" s="343">
        <f>IF(SUM($B$71:AP71)+SUM($A$78:AO78)&gt;0,0,SUM($B$71:AP71)-SUM($A$78:AO78))</f>
        <v>-42009436.987273335</v>
      </c>
    </row>
    <row r="79" spans="1:45" x14ac:dyDescent="0.2">
      <c r="A79" s="120" t="s">
        <v>219</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3"/>
      <c r="AL79" s="343"/>
      <c r="AM79" s="343"/>
      <c r="AN79" s="343"/>
      <c r="AO79" s="343"/>
      <c r="AP79" s="343"/>
    </row>
    <row r="80" spans="1:45" x14ac:dyDescent="0.2">
      <c r="A80" s="120" t="s">
        <v>218</v>
      </c>
      <c r="B80" s="343">
        <f>-B59*(B39)</f>
        <v>0</v>
      </c>
      <c r="C80" s="343">
        <f t="shared" ref="C80:AP80" si="27">-(C59-B59)*$B$39</f>
        <v>0</v>
      </c>
      <c r="D80" s="343">
        <f t="shared" si="27"/>
        <v>0</v>
      </c>
      <c r="E80" s="343">
        <f t="shared" si="27"/>
        <v>0</v>
      </c>
      <c r="F80" s="343">
        <f t="shared" si="27"/>
        <v>0</v>
      </c>
      <c r="G80" s="343">
        <f t="shared" si="27"/>
        <v>0</v>
      </c>
      <c r="H80" s="343">
        <f t="shared" si="27"/>
        <v>0</v>
      </c>
      <c r="I80" s="343">
        <f t="shared" si="27"/>
        <v>0</v>
      </c>
      <c r="J80" s="343">
        <f t="shared" si="27"/>
        <v>0</v>
      </c>
      <c r="K80" s="343">
        <f t="shared" si="27"/>
        <v>0</v>
      </c>
      <c r="L80" s="343">
        <f t="shared" si="27"/>
        <v>0</v>
      </c>
      <c r="M80" s="343">
        <f t="shared" si="27"/>
        <v>0</v>
      </c>
      <c r="N80" s="343">
        <f t="shared" si="27"/>
        <v>0</v>
      </c>
      <c r="O80" s="343">
        <f t="shared" si="27"/>
        <v>0</v>
      </c>
      <c r="P80" s="343">
        <f t="shared" si="27"/>
        <v>0</v>
      </c>
      <c r="Q80" s="343">
        <f t="shared" si="27"/>
        <v>0</v>
      </c>
      <c r="R80" s="343">
        <f t="shared" si="27"/>
        <v>0</v>
      </c>
      <c r="S80" s="343">
        <f t="shared" si="27"/>
        <v>0</v>
      </c>
      <c r="T80" s="343">
        <f t="shared" si="27"/>
        <v>0</v>
      </c>
      <c r="U80" s="343">
        <f t="shared" si="27"/>
        <v>0</v>
      </c>
      <c r="V80" s="343">
        <f t="shared" si="27"/>
        <v>0</v>
      </c>
      <c r="W80" s="343">
        <f t="shared" si="27"/>
        <v>0</v>
      </c>
      <c r="X80" s="343">
        <f t="shared" si="27"/>
        <v>0</v>
      </c>
      <c r="Y80" s="343">
        <f t="shared" si="27"/>
        <v>0</v>
      </c>
      <c r="Z80" s="343">
        <f t="shared" si="27"/>
        <v>0</v>
      </c>
      <c r="AA80" s="343">
        <f t="shared" si="27"/>
        <v>0</v>
      </c>
      <c r="AB80" s="343">
        <f t="shared" si="27"/>
        <v>0</v>
      </c>
      <c r="AC80" s="343">
        <f t="shared" si="27"/>
        <v>0</v>
      </c>
      <c r="AD80" s="343">
        <f t="shared" si="27"/>
        <v>0</v>
      </c>
      <c r="AE80" s="343">
        <f t="shared" si="27"/>
        <v>0</v>
      </c>
      <c r="AF80" s="343">
        <f t="shared" si="27"/>
        <v>0</v>
      </c>
      <c r="AG80" s="343">
        <f t="shared" si="27"/>
        <v>0</v>
      </c>
      <c r="AH80" s="343">
        <f t="shared" si="27"/>
        <v>0</v>
      </c>
      <c r="AI80" s="343">
        <f t="shared" si="27"/>
        <v>0</v>
      </c>
      <c r="AJ80" s="343">
        <f t="shared" si="27"/>
        <v>0</v>
      </c>
      <c r="AK80" s="343">
        <f t="shared" si="27"/>
        <v>0</v>
      </c>
      <c r="AL80" s="343">
        <f t="shared" si="27"/>
        <v>0</v>
      </c>
      <c r="AM80" s="343">
        <f t="shared" si="27"/>
        <v>0</v>
      </c>
      <c r="AN80" s="343">
        <f t="shared" si="27"/>
        <v>0</v>
      </c>
      <c r="AO80" s="343">
        <f t="shared" si="27"/>
        <v>0</v>
      </c>
      <c r="AP80" s="343">
        <f t="shared" si="27"/>
        <v>0</v>
      </c>
    </row>
    <row r="81" spans="1:45" x14ac:dyDescent="0.2">
      <c r="A81" s="120" t="s">
        <v>395</v>
      </c>
      <c r="B81" s="343">
        <f>-'6.2. Паспорт фин осв ввод'!G30*1000000</f>
        <v>-13775333.34</v>
      </c>
      <c r="C81" s="343">
        <f>-'6.2. Паспорт фин осв ввод'!J30*1000000</f>
        <v>-76850.119999999952</v>
      </c>
      <c r="D81" s="343">
        <f>-B25-C81-B81</f>
        <v>-49532117.223333344</v>
      </c>
      <c r="E81" s="343">
        <v>0</v>
      </c>
      <c r="F81" s="343">
        <v>0</v>
      </c>
      <c r="G81" s="343">
        <v>0</v>
      </c>
      <c r="H81" s="343">
        <v>0</v>
      </c>
      <c r="I81" s="343">
        <v>0</v>
      </c>
      <c r="J81" s="343">
        <v>0</v>
      </c>
      <c r="K81" s="343">
        <v>0</v>
      </c>
      <c r="L81" s="343">
        <v>0</v>
      </c>
      <c r="M81" s="343">
        <v>0</v>
      </c>
      <c r="N81" s="343">
        <v>0</v>
      </c>
      <c r="O81" s="343">
        <v>0</v>
      </c>
      <c r="P81" s="343">
        <v>0</v>
      </c>
      <c r="Q81" s="343">
        <v>0</v>
      </c>
      <c r="R81" s="343">
        <v>0</v>
      </c>
      <c r="S81" s="343">
        <v>0</v>
      </c>
      <c r="T81" s="343">
        <v>0</v>
      </c>
      <c r="U81" s="343">
        <v>0</v>
      </c>
      <c r="V81" s="343">
        <v>0</v>
      </c>
      <c r="W81" s="343">
        <v>0</v>
      </c>
      <c r="X81" s="343">
        <v>0</v>
      </c>
      <c r="Y81" s="343">
        <v>0</v>
      </c>
      <c r="Z81" s="343">
        <v>0</v>
      </c>
      <c r="AA81" s="343">
        <v>0</v>
      </c>
      <c r="AB81" s="343">
        <v>0</v>
      </c>
      <c r="AC81" s="343">
        <v>0</v>
      </c>
      <c r="AD81" s="343">
        <v>0</v>
      </c>
      <c r="AE81" s="343">
        <v>0</v>
      </c>
      <c r="AF81" s="343">
        <v>0</v>
      </c>
      <c r="AG81" s="343">
        <v>0</v>
      </c>
      <c r="AH81" s="343">
        <v>0</v>
      </c>
      <c r="AI81" s="343">
        <v>0</v>
      </c>
      <c r="AJ81" s="343">
        <v>0</v>
      </c>
      <c r="AK81" s="343">
        <v>0</v>
      </c>
      <c r="AL81" s="343">
        <v>0</v>
      </c>
      <c r="AM81" s="343">
        <v>0</v>
      </c>
      <c r="AN81" s="343">
        <v>0</v>
      </c>
      <c r="AO81" s="343">
        <v>0</v>
      </c>
      <c r="AP81" s="343">
        <v>0</v>
      </c>
      <c r="AQ81" s="285">
        <f>SUM(B81:AP81)</f>
        <v>-63384300.683333345</v>
      </c>
      <c r="AR81" s="286"/>
    </row>
    <row r="82" spans="1:45" x14ac:dyDescent="0.2">
      <c r="A82" s="120" t="s">
        <v>217</v>
      </c>
      <c r="B82" s="343">
        <f t="shared" ref="B82:AO82" si="28">B54-B55</f>
        <v>0</v>
      </c>
      <c r="C82" s="343">
        <f t="shared" si="28"/>
        <v>0</v>
      </c>
      <c r="D82" s="343">
        <f t="shared" si="28"/>
        <v>0</v>
      </c>
      <c r="E82" s="343">
        <f t="shared" si="28"/>
        <v>0</v>
      </c>
      <c r="F82" s="343">
        <f t="shared" si="28"/>
        <v>0</v>
      </c>
      <c r="G82" s="343">
        <f t="shared" si="28"/>
        <v>0</v>
      </c>
      <c r="H82" s="343">
        <f t="shared" si="28"/>
        <v>0</v>
      </c>
      <c r="I82" s="343">
        <f t="shared" si="28"/>
        <v>0</v>
      </c>
      <c r="J82" s="343">
        <f t="shared" si="28"/>
        <v>0</v>
      </c>
      <c r="K82" s="343">
        <f t="shared" si="28"/>
        <v>0</v>
      </c>
      <c r="L82" s="343">
        <f t="shared" si="28"/>
        <v>0</v>
      </c>
      <c r="M82" s="343">
        <f t="shared" si="28"/>
        <v>0</v>
      </c>
      <c r="N82" s="343">
        <f t="shared" si="28"/>
        <v>0</v>
      </c>
      <c r="O82" s="343">
        <f t="shared" si="28"/>
        <v>0</v>
      </c>
      <c r="P82" s="343">
        <f t="shared" si="28"/>
        <v>0</v>
      </c>
      <c r="Q82" s="343">
        <f t="shared" si="28"/>
        <v>0</v>
      </c>
      <c r="R82" s="343">
        <f t="shared" si="28"/>
        <v>0</v>
      </c>
      <c r="S82" s="343">
        <f t="shared" si="28"/>
        <v>0</v>
      </c>
      <c r="T82" s="343">
        <f t="shared" si="28"/>
        <v>0</v>
      </c>
      <c r="U82" s="343">
        <f t="shared" si="28"/>
        <v>0</v>
      </c>
      <c r="V82" s="343">
        <f t="shared" si="28"/>
        <v>0</v>
      </c>
      <c r="W82" s="343">
        <f t="shared" si="28"/>
        <v>0</v>
      </c>
      <c r="X82" s="343">
        <f t="shared" si="28"/>
        <v>0</v>
      </c>
      <c r="Y82" s="343">
        <f t="shared" si="28"/>
        <v>0</v>
      </c>
      <c r="Z82" s="343">
        <f t="shared" si="28"/>
        <v>0</v>
      </c>
      <c r="AA82" s="343">
        <f t="shared" si="28"/>
        <v>0</v>
      </c>
      <c r="AB82" s="343">
        <f t="shared" si="28"/>
        <v>0</v>
      </c>
      <c r="AC82" s="343">
        <f t="shared" si="28"/>
        <v>0</v>
      </c>
      <c r="AD82" s="343">
        <f t="shared" si="28"/>
        <v>0</v>
      </c>
      <c r="AE82" s="343">
        <f t="shared" si="28"/>
        <v>0</v>
      </c>
      <c r="AF82" s="343">
        <f t="shared" si="28"/>
        <v>0</v>
      </c>
      <c r="AG82" s="343">
        <f t="shared" si="28"/>
        <v>0</v>
      </c>
      <c r="AH82" s="343">
        <f t="shared" si="28"/>
        <v>0</v>
      </c>
      <c r="AI82" s="343">
        <f t="shared" si="28"/>
        <v>0</v>
      </c>
      <c r="AJ82" s="343">
        <f t="shared" si="28"/>
        <v>0</v>
      </c>
      <c r="AK82" s="343">
        <f t="shared" si="28"/>
        <v>0</v>
      </c>
      <c r="AL82" s="343">
        <f t="shared" si="28"/>
        <v>0</v>
      </c>
      <c r="AM82" s="343">
        <f t="shared" si="28"/>
        <v>0</v>
      </c>
      <c r="AN82" s="343">
        <f t="shared" si="28"/>
        <v>0</v>
      </c>
      <c r="AO82" s="343">
        <f t="shared" si="28"/>
        <v>0</v>
      </c>
      <c r="AP82" s="343">
        <f>AP54-AP55</f>
        <v>0</v>
      </c>
    </row>
    <row r="83" spans="1:45" ht="14.25" x14ac:dyDescent="0.2">
      <c r="A83" s="284" t="s">
        <v>216</v>
      </c>
      <c r="B83" s="344">
        <f>SUM(B75:B82)</f>
        <v>38406528.387999997</v>
      </c>
      <c r="C83" s="344">
        <f t="shared" ref="C83:V83" si="29">SUM(C75:C82)</f>
        <v>-76850.119999999952</v>
      </c>
      <c r="D83" s="344">
        <f t="shared" si="29"/>
        <v>-39387678.385134004</v>
      </c>
      <c r="E83" s="344">
        <f t="shared" si="29"/>
        <v>22399793.321774915</v>
      </c>
      <c r="F83" s="344">
        <f t="shared" si="29"/>
        <v>38951459.427585185</v>
      </c>
      <c r="G83" s="344">
        <f t="shared" si="29"/>
        <v>39835914.046573602</v>
      </c>
      <c r="H83" s="344">
        <f t="shared" si="29"/>
        <v>39577236.027567305</v>
      </c>
      <c r="I83" s="344">
        <f t="shared" si="29"/>
        <v>41304488.017150439</v>
      </c>
      <c r="J83" s="344">
        <f t="shared" si="29"/>
        <v>43108100.055211879</v>
      </c>
      <c r="K83" s="344">
        <f t="shared" si="29"/>
        <v>44991447.941599466</v>
      </c>
      <c r="L83" s="344">
        <f t="shared" si="29"/>
        <v>46958056.716828637</v>
      </c>
      <c r="M83" s="344">
        <f t="shared" si="29"/>
        <v>49011607.259860076</v>
      </c>
      <c r="N83" s="344">
        <f t="shared" si="29"/>
        <v>51155943.177558474</v>
      </c>
      <c r="O83" s="344">
        <f t="shared" si="29"/>
        <v>53395077.998727068</v>
      </c>
      <c r="P83" s="344">
        <f t="shared" si="29"/>
        <v>55733202.686183333</v>
      </c>
      <c r="Q83" s="344">
        <f t="shared" si="29"/>
        <v>58174693.480935588</v>
      </c>
      <c r="R83" s="344">
        <f t="shared" si="29"/>
        <v>60724120.093142927</v>
      </c>
      <c r="S83" s="344">
        <f t="shared" si="29"/>
        <v>63386254.255189061</v>
      </c>
      <c r="T83" s="344">
        <f t="shared" si="29"/>
        <v>66166078.652878597</v>
      </c>
      <c r="U83" s="344">
        <f t="shared" si="29"/>
        <v>69068796.251472756</v>
      </c>
      <c r="V83" s="344">
        <f t="shared" si="29"/>
        <v>72099840.034019381</v>
      </c>
      <c r="W83" s="344">
        <f>SUM(W75:W82)</f>
        <v>75264883.170204595</v>
      </c>
      <c r="X83" s="344">
        <f>SUM(X75:X82)</f>
        <v>78569849.634759158</v>
      </c>
      <c r="Y83" s="344">
        <f>SUM(Y75:Y82)</f>
        <v>82020925.295293525</v>
      </c>
      <c r="Z83" s="344">
        <f>SUM(Z75:Z82)</f>
        <v>85624569.490315109</v>
      </c>
      <c r="AA83" s="344">
        <f t="shared" ref="AA83:AP83" si="30">SUM(AA75:AA82)</f>
        <v>89387527.119097307</v>
      </c>
      <c r="AB83" s="344">
        <f t="shared" si="30"/>
        <v>93316841.266030014</v>
      </c>
      <c r="AC83" s="344">
        <f t="shared" si="30"/>
        <v>97419866.38307935</v>
      </c>
      <c r="AD83" s="344">
        <f t="shared" si="30"/>
        <v>101704282.05503039</v>
      </c>
      <c r="AE83" s="344">
        <f t="shared" si="30"/>
        <v>106178107.37327765</v>
      </c>
      <c r="AF83" s="344">
        <f t="shared" si="30"/>
        <v>110849715.94506592</v>
      </c>
      <c r="AG83" s="344">
        <f t="shared" si="30"/>
        <v>115727851.56627414</v>
      </c>
      <c r="AH83" s="344">
        <f t="shared" si="30"/>
        <v>120821644.58707756</v>
      </c>
      <c r="AI83" s="344">
        <f t="shared" si="30"/>
        <v>126140629.0011189</v>
      </c>
      <c r="AJ83" s="344">
        <f t="shared" si="30"/>
        <v>131694760.29017383</v>
      </c>
      <c r="AK83" s="344">
        <f t="shared" si="30"/>
        <v>137494434.05771184</v>
      </c>
      <c r="AL83" s="344">
        <f t="shared" si="30"/>
        <v>143550505.48622718</v>
      </c>
      <c r="AM83" s="344">
        <f t="shared" si="30"/>
        <v>149874309.65475878</v>
      </c>
      <c r="AN83" s="344">
        <f t="shared" si="30"/>
        <v>156477682.75462663</v>
      </c>
      <c r="AO83" s="344">
        <f t="shared" si="30"/>
        <v>163372984.24309522</v>
      </c>
      <c r="AP83" s="344">
        <f t="shared" si="30"/>
        <v>170573119.97642639</v>
      </c>
    </row>
    <row r="84" spans="1:45" ht="14.25" x14ac:dyDescent="0.2">
      <c r="A84" s="284" t="s">
        <v>544</v>
      </c>
      <c r="B84" s="344">
        <f>SUM($B$83:B83)</f>
        <v>38406528.387999997</v>
      </c>
      <c r="C84" s="344">
        <f>SUM($B$83:C83)</f>
        <v>38329678.267999999</v>
      </c>
      <c r="D84" s="344">
        <f>SUM($B$83:D83)</f>
        <v>-1058000.1171340048</v>
      </c>
      <c r="E84" s="344">
        <f>SUM($B$83:E83)</f>
        <v>21341793.20464091</v>
      </c>
      <c r="F84" s="344">
        <f>SUM($B$83:F83)</f>
        <v>60293252.632226095</v>
      </c>
      <c r="G84" s="344">
        <f>SUM($B$83:G83)</f>
        <v>100129166.67879969</v>
      </c>
      <c r="H84" s="344">
        <f>SUM($B$83:H83)</f>
        <v>139706402.70636699</v>
      </c>
      <c r="I84" s="344">
        <f>SUM($B$83:I83)</f>
        <v>181010890.72351742</v>
      </c>
      <c r="J84" s="344">
        <f>SUM($B$83:J83)</f>
        <v>224118990.77872929</v>
      </c>
      <c r="K84" s="344">
        <f>SUM($B$83:K83)</f>
        <v>269110438.72032875</v>
      </c>
      <c r="L84" s="344">
        <f>SUM($B$83:L83)</f>
        <v>316068495.43715739</v>
      </c>
      <c r="M84" s="344">
        <f>SUM($B$83:M83)</f>
        <v>365080102.69701749</v>
      </c>
      <c r="N84" s="344">
        <f>SUM($B$83:N83)</f>
        <v>416236045.87457597</v>
      </c>
      <c r="O84" s="344">
        <f>SUM($B$83:O83)</f>
        <v>469631123.87330306</v>
      </c>
      <c r="P84" s="344">
        <f>SUM($B$83:P83)</f>
        <v>525364326.55948639</v>
      </c>
      <c r="Q84" s="344">
        <f>SUM($B$83:Q83)</f>
        <v>583539020.04042196</v>
      </c>
      <c r="R84" s="344">
        <f>SUM($B$83:R83)</f>
        <v>644263140.13356495</v>
      </c>
      <c r="S84" s="344">
        <f>SUM($B$83:S83)</f>
        <v>707649394.38875401</v>
      </c>
      <c r="T84" s="344">
        <f>SUM($B$83:T83)</f>
        <v>773815473.04163265</v>
      </c>
      <c r="U84" s="344">
        <f>SUM($B$83:U83)</f>
        <v>842884269.29310536</v>
      </c>
      <c r="V84" s="344">
        <f>SUM($B$83:V83)</f>
        <v>914984109.32712471</v>
      </c>
      <c r="W84" s="344">
        <f>SUM($B$83:W83)</f>
        <v>990248992.49732935</v>
      </c>
      <c r="X84" s="344">
        <f>SUM($B$83:X83)</f>
        <v>1068818842.1320885</v>
      </c>
      <c r="Y84" s="344">
        <f>SUM($B$83:Y83)</f>
        <v>1150839767.427382</v>
      </c>
      <c r="Z84" s="344">
        <f>SUM($B$83:Z83)</f>
        <v>1236464336.9176972</v>
      </c>
      <c r="AA84" s="344">
        <f>SUM($B$83:AA83)</f>
        <v>1325851864.0367944</v>
      </c>
      <c r="AB84" s="344">
        <f>SUM($B$83:AB83)</f>
        <v>1419168705.3028245</v>
      </c>
      <c r="AC84" s="344">
        <f>SUM($B$83:AC83)</f>
        <v>1516588571.6859038</v>
      </c>
      <c r="AD84" s="344">
        <f>SUM($B$83:AD83)</f>
        <v>1618292853.7409341</v>
      </c>
      <c r="AE84" s="344">
        <f>SUM($B$83:AE83)</f>
        <v>1724470961.1142118</v>
      </c>
      <c r="AF84" s="344">
        <f>SUM($B$83:AF83)</f>
        <v>1835320677.0592778</v>
      </c>
      <c r="AG84" s="344">
        <f>SUM($B$83:AG83)</f>
        <v>1951048528.6255519</v>
      </c>
      <c r="AH84" s="344">
        <f>SUM($B$83:AH83)</f>
        <v>2071870173.2126296</v>
      </c>
      <c r="AI84" s="344">
        <f>SUM($B$83:AI83)</f>
        <v>2198010802.2137485</v>
      </c>
      <c r="AJ84" s="344">
        <f>SUM($B$83:AJ83)</f>
        <v>2329705562.5039225</v>
      </c>
      <c r="AK84" s="344">
        <f>SUM($B$83:AK83)</f>
        <v>2467199996.5616341</v>
      </c>
      <c r="AL84" s="344">
        <f>SUM($B$83:AL83)</f>
        <v>2610750502.0478611</v>
      </c>
      <c r="AM84" s="344">
        <f>SUM($B$83:AM83)</f>
        <v>2760624811.70262</v>
      </c>
      <c r="AN84" s="344">
        <f>SUM($B$83:AN83)</f>
        <v>2917102494.4572468</v>
      </c>
      <c r="AO84" s="344">
        <f>SUM($B$83:AO83)</f>
        <v>3080475478.7003422</v>
      </c>
      <c r="AP84" s="344">
        <f>SUM($B$83:AP83)</f>
        <v>3251048598.6767688</v>
      </c>
    </row>
    <row r="85" spans="1:45" x14ac:dyDescent="0.2">
      <c r="A85" s="120" t="s">
        <v>396</v>
      </c>
      <c r="B85" s="345">
        <f t="shared" ref="B85:AP85" si="31">1/POWER((1+$B$44),B73)</f>
        <v>0.94503775855665906</v>
      </c>
      <c r="C85" s="345">
        <f t="shared" si="31"/>
        <v>0.84400978704711893</v>
      </c>
      <c r="D85" s="345">
        <f t="shared" si="31"/>
        <v>0.75378207291874522</v>
      </c>
      <c r="E85" s="345">
        <f t="shared" si="31"/>
        <v>0.67320002939961177</v>
      </c>
      <c r="F85" s="345">
        <f t="shared" si="31"/>
        <v>0.60123249924052136</v>
      </c>
      <c r="G85" s="345">
        <f t="shared" si="31"/>
        <v>0.53695855965037187</v>
      </c>
      <c r="H85" s="345">
        <f t="shared" si="31"/>
        <v>0.47955573783189431</v>
      </c>
      <c r="I85" s="345">
        <f t="shared" si="31"/>
        <v>0.4282894863194554</v>
      </c>
      <c r="J85" s="345">
        <f t="shared" si="31"/>
        <v>0.38250378344150709</v>
      </c>
      <c r="K85" s="345">
        <f t="shared" si="31"/>
        <v>0.34161273862776381</v>
      </c>
      <c r="L85" s="345">
        <f t="shared" si="31"/>
        <v>0.30509309513955868</v>
      </c>
      <c r="M85" s="345">
        <f t="shared" si="31"/>
        <v>0.27247753428557531</v>
      </c>
      <c r="N85" s="345">
        <f t="shared" si="31"/>
        <v>9.8495320275877762E-2</v>
      </c>
      <c r="O85" s="345">
        <f t="shared" si="31"/>
        <v>8.796581251752951E-2</v>
      </c>
      <c r="P85" s="345">
        <f t="shared" si="31"/>
        <v>7.8561947412279634E-2</v>
      </c>
      <c r="Q85" s="345">
        <f t="shared" si="31"/>
        <v>7.0163389668911003E-2</v>
      </c>
      <c r="R85" s="345">
        <f t="shared" si="31"/>
        <v>6.2662668276244532E-2</v>
      </c>
      <c r="S85" s="345">
        <f t="shared" si="31"/>
        <v>5.5963801264842836E-2</v>
      </c>
      <c r="T85" s="345">
        <f t="shared" si="31"/>
        <v>4.9981067486686487E-2</v>
      </c>
      <c r="U85" s="345">
        <f t="shared" si="31"/>
        <v>4.4637909696067235E-2</v>
      </c>
      <c r="V85" s="345">
        <f t="shared" si="31"/>
        <v>3.9865954895121236E-2</v>
      </c>
      <c r="W85" s="345">
        <f t="shared" si="31"/>
        <v>3.5604139407985382E-2</v>
      </c>
      <c r="X85" s="345">
        <f t="shared" si="31"/>
        <v>3.1797927487706865E-2</v>
      </c>
      <c r="Y85" s="345">
        <f t="shared" si="31"/>
        <v>2.8398613456914246E-2</v>
      </c>
      <c r="Z85" s="345">
        <f t="shared" si="31"/>
        <v>2.5362698452187405E-2</v>
      </c>
      <c r="AA85" s="345">
        <f t="shared" si="31"/>
        <v>2.2651333796720029E-2</v>
      </c>
      <c r="AB85" s="345">
        <f t="shared" si="31"/>
        <v>2.022982387846747E-2</v>
      </c>
      <c r="AC85" s="345">
        <f t="shared" si="31"/>
        <v>1.8067182172427861E-2</v>
      </c>
      <c r="AD85" s="345">
        <f t="shared" si="31"/>
        <v>1.613573472575499E-2</v>
      </c>
      <c r="AE85" s="345">
        <f t="shared" si="31"/>
        <v>1.441076603175403E-2</v>
      </c>
      <c r="AF85" s="345">
        <f t="shared" si="31"/>
        <v>1.2870202761234285E-2</v>
      </c>
      <c r="AG85" s="345">
        <f t="shared" si="31"/>
        <v>1.149433130412994E-2</v>
      </c>
      <c r="AH85" s="345">
        <f t="shared" si="31"/>
        <v>1.0265545506948236E-2</v>
      </c>
      <c r="AI85" s="345">
        <f t="shared" si="31"/>
        <v>9.1681213780014596E-3</v>
      </c>
      <c r="AJ85" s="345">
        <f t="shared" si="31"/>
        <v>8.1880158774684814E-3</v>
      </c>
      <c r="AK85" s="345">
        <f t="shared" si="31"/>
        <v>7.312687217530125E-3</v>
      </c>
      <c r="AL85" s="345">
        <f t="shared" si="31"/>
        <v>6.530934373073261E-3</v>
      </c>
      <c r="AM85" s="345">
        <f t="shared" si="31"/>
        <v>5.8327537492839695E-3</v>
      </c>
      <c r="AN85" s="345">
        <f t="shared" si="31"/>
        <v>5.2092111719960425E-3</v>
      </c>
      <c r="AO85" s="345">
        <f t="shared" si="31"/>
        <v>4.6523275627364854E-3</v>
      </c>
      <c r="AP85" s="345">
        <f t="shared" si="31"/>
        <v>4.1549768355242335E-3</v>
      </c>
    </row>
    <row r="86" spans="1:45" ht="28.5" x14ac:dyDescent="0.2">
      <c r="A86" s="283" t="s">
        <v>545</v>
      </c>
      <c r="B86" s="344">
        <f>B83*B85</f>
        <v>36295619.501738213</v>
      </c>
      <c r="C86" s="344">
        <f>C83*C85</f>
        <v>-64862.253415745494</v>
      </c>
      <c r="D86" s="344">
        <f t="shared" ref="D86:AO86" si="32">D83*D85</f>
        <v>-29689725.860603165</v>
      </c>
      <c r="E86" s="344">
        <f t="shared" si="32"/>
        <v>15079541.5227641</v>
      </c>
      <c r="F86" s="344">
        <f t="shared" si="32"/>
        <v>23418883.300712809</v>
      </c>
      <c r="G86" s="344">
        <f t="shared" si="32"/>
        <v>21390235.028804179</v>
      </c>
      <c r="H86" s="344">
        <f t="shared" si="32"/>
        <v>18979490.624547068</v>
      </c>
      <c r="I86" s="344">
        <f t="shared" si="32"/>
        <v>17690277.955553465</v>
      </c>
      <c r="J86" s="344">
        <f t="shared" si="32"/>
        <v>16489011.368093586</v>
      </c>
      <c r="K86" s="344">
        <f t="shared" si="32"/>
        <v>15369651.746158261</v>
      </c>
      <c r="L86" s="344">
        <f t="shared" si="32"/>
        <v>14326578.865476191</v>
      </c>
      <c r="M86" s="344">
        <f t="shared" si="32"/>
        <v>13354561.897539675</v>
      </c>
      <c r="N86" s="344">
        <f t="shared" si="32"/>
        <v>5038621.0072882259</v>
      </c>
      <c r="O86" s="344">
        <f t="shared" si="32"/>
        <v>4696941.4205948897</v>
      </c>
      <c r="P86" s="344">
        <f t="shared" si="32"/>
        <v>4378508.9385498567</v>
      </c>
      <c r="Q86" s="344">
        <f t="shared" si="32"/>
        <v>4081733.6875723405</v>
      </c>
      <c r="R86" s="344">
        <f t="shared" si="32"/>
        <v>3805135.3937634504</v>
      </c>
      <c r="S86" s="344">
        <f t="shared" si="32"/>
        <v>3547335.7360601993</v>
      </c>
      <c r="T86" s="344">
        <f t="shared" si="32"/>
        <v>3307051.2424789313</v>
      </c>
      <c r="U86" s="344">
        <f t="shared" si="32"/>
        <v>3083086.6898893081</v>
      </c>
      <c r="V86" s="344">
        <f t="shared" si="32"/>
        <v>2874328.9707416729</v>
      </c>
      <c r="W86" s="344">
        <f t="shared" si="32"/>
        <v>2679741.3929176973</v>
      </c>
      <c r="X86" s="344">
        <f t="shared" si="32"/>
        <v>2498358.3814061033</v>
      </c>
      <c r="Y86" s="344">
        <f t="shared" si="32"/>
        <v>2329280.5528394808</v>
      </c>
      <c r="Z86" s="344">
        <f t="shared" si="32"/>
        <v>2171670.136081228</v>
      </c>
      <c r="AA86" s="344">
        <f t="shared" si="32"/>
        <v>2024746.714038037</v>
      </c>
      <c r="AB86" s="344">
        <f t="shared" si="32"/>
        <v>1887783.2637066925</v>
      </c>
      <c r="AC86" s="344">
        <f t="shared" si="32"/>
        <v>1760102.4731566755</v>
      </c>
      <c r="AD86" s="344">
        <f t="shared" si="32"/>
        <v>1641073.3157133339</v>
      </c>
      <c r="AE86" s="344">
        <f t="shared" si="32"/>
        <v>1530107.8630507616</v>
      </c>
      <c r="AF86" s="344">
        <f t="shared" si="32"/>
        <v>1426658.3202382235</v>
      </c>
      <c r="AG86" s="344">
        <f t="shared" si="32"/>
        <v>1330214.267017928</v>
      </c>
      <c r="AH86" s="344">
        <f t="shared" si="32"/>
        <v>1240300.0907329707</v>
      </c>
      <c r="AI86" s="344">
        <f t="shared" si="32"/>
        <v>1156472.5973797091</v>
      </c>
      <c r="AJ86" s="344">
        <f t="shared" si="32"/>
        <v>1078318.7882353489</v>
      </c>
      <c r="AK86" s="344">
        <f t="shared" si="32"/>
        <v>1005453.790415368</v>
      </c>
      <c r="AL86" s="344">
        <f t="shared" si="32"/>
        <v>937518.9305520429</v>
      </c>
      <c r="AM86" s="344">
        <f t="shared" si="32"/>
        <v>874179.94156014093</v>
      </c>
      <c r="AN86" s="344">
        <f t="shared" si="32"/>
        <v>815125.29317345354</v>
      </c>
      <c r="AO86" s="344">
        <f t="shared" si="32"/>
        <v>760064.63760066545</v>
      </c>
      <c r="AP86" s="344">
        <f>AP83*AP85</f>
        <v>708727.3622651475</v>
      </c>
    </row>
    <row r="87" spans="1:45" ht="14.25" x14ac:dyDescent="0.2">
      <c r="A87" s="283" t="s">
        <v>546</v>
      </c>
      <c r="B87" s="344">
        <f>SUM($B$86:B86)</f>
        <v>36295619.501738213</v>
      </c>
      <c r="C87" s="344">
        <f>SUM($B$86:C86)</f>
        <v>36230757.248322465</v>
      </c>
      <c r="D87" s="344">
        <f>SUM($B$86:D86)</f>
        <v>6541031.3877192996</v>
      </c>
      <c r="E87" s="344">
        <f>SUM($B$86:E86)</f>
        <v>21620572.910483398</v>
      </c>
      <c r="F87" s="344">
        <f>SUM($B$86:F86)</f>
        <v>45039456.211196207</v>
      </c>
      <c r="G87" s="344">
        <f>SUM($B$86:G86)</f>
        <v>66429691.240000382</v>
      </c>
      <c r="H87" s="344">
        <f>SUM($B$86:H86)</f>
        <v>85409181.864547446</v>
      </c>
      <c r="I87" s="344">
        <f>SUM($B$86:I86)</f>
        <v>103099459.8201009</v>
      </c>
      <c r="J87" s="344">
        <f>SUM($B$86:J86)</f>
        <v>119588471.18819448</v>
      </c>
      <c r="K87" s="344">
        <f>SUM($B$86:K86)</f>
        <v>134958122.93435276</v>
      </c>
      <c r="L87" s="344">
        <f>SUM($B$86:L86)</f>
        <v>149284701.79982895</v>
      </c>
      <c r="M87" s="344">
        <f>SUM($B$86:M86)</f>
        <v>162639263.69736862</v>
      </c>
      <c r="N87" s="344">
        <f>SUM($B$86:N86)</f>
        <v>167677884.70465684</v>
      </c>
      <c r="O87" s="344">
        <f>SUM($B$86:O86)</f>
        <v>172374826.12525174</v>
      </c>
      <c r="P87" s="344">
        <f>SUM($B$86:P86)</f>
        <v>176753335.06380159</v>
      </c>
      <c r="Q87" s="344">
        <f>SUM($B$86:Q86)</f>
        <v>180835068.75137392</v>
      </c>
      <c r="R87" s="344">
        <f>SUM($B$86:R86)</f>
        <v>184640204.14513737</v>
      </c>
      <c r="S87" s="344">
        <f>SUM($B$86:S86)</f>
        <v>188187539.88119757</v>
      </c>
      <c r="T87" s="344">
        <f>SUM($B$86:T86)</f>
        <v>191494591.12367651</v>
      </c>
      <c r="U87" s="344">
        <f>SUM($B$86:U86)</f>
        <v>194577677.81356582</v>
      </c>
      <c r="V87" s="344">
        <f>SUM($B$86:V86)</f>
        <v>197452006.78430748</v>
      </c>
      <c r="W87" s="344">
        <f>SUM($B$86:W86)</f>
        <v>200131748.17722517</v>
      </c>
      <c r="X87" s="344">
        <f>SUM($B$86:X86)</f>
        <v>202630106.55863127</v>
      </c>
      <c r="Y87" s="344">
        <f>SUM($B$86:Y86)</f>
        <v>204959387.11147076</v>
      </c>
      <c r="Z87" s="344">
        <f>SUM($B$86:Z86)</f>
        <v>207131057.24755198</v>
      </c>
      <c r="AA87" s="344">
        <f>SUM($B$86:AA86)</f>
        <v>209155803.96159002</v>
      </c>
      <c r="AB87" s="344">
        <f>SUM($B$86:AB86)</f>
        <v>211043587.22529671</v>
      </c>
      <c r="AC87" s="344">
        <f>SUM($B$86:AC86)</f>
        <v>212803689.69845337</v>
      </c>
      <c r="AD87" s="344">
        <f>SUM($B$86:AD86)</f>
        <v>214444763.01416671</v>
      </c>
      <c r="AE87" s="344">
        <f>SUM($B$86:AE86)</f>
        <v>215974870.87721747</v>
      </c>
      <c r="AF87" s="344">
        <f>SUM($B$86:AF86)</f>
        <v>217401529.1974557</v>
      </c>
      <c r="AG87" s="344">
        <f>SUM($B$86:AG86)</f>
        <v>218731743.46447363</v>
      </c>
      <c r="AH87" s="344">
        <f>SUM($B$86:AH86)</f>
        <v>219972043.5552066</v>
      </c>
      <c r="AI87" s="344">
        <f>SUM($B$86:AI86)</f>
        <v>221128516.15258631</v>
      </c>
      <c r="AJ87" s="344">
        <f>SUM($B$86:AJ86)</f>
        <v>222206834.94082165</v>
      </c>
      <c r="AK87" s="344">
        <f>SUM($B$86:AK86)</f>
        <v>223212288.73123702</v>
      </c>
      <c r="AL87" s="344">
        <f>SUM($B$86:AL86)</f>
        <v>224149807.66178906</v>
      </c>
      <c r="AM87" s="344">
        <f>SUM($B$86:AM86)</f>
        <v>225023987.60334921</v>
      </c>
      <c r="AN87" s="344">
        <f>SUM($B$86:AN86)</f>
        <v>225839112.89652267</v>
      </c>
      <c r="AO87" s="344">
        <f>SUM($B$86:AO86)</f>
        <v>226599177.53412333</v>
      </c>
      <c r="AP87" s="344">
        <f>SUM($B$86:AP86)</f>
        <v>227307904.89638847</v>
      </c>
    </row>
    <row r="88" spans="1:45" ht="14.25" x14ac:dyDescent="0.2">
      <c r="A88" s="283" t="s">
        <v>547</v>
      </c>
      <c r="B88" s="346">
        <f>IF((ISERR(IRR($B$83:B83))),0,IF(IRR($B$83:B83)&lt;0,0,IRR($B$83:B83)))</f>
        <v>0</v>
      </c>
      <c r="C88" s="346">
        <f>IF((ISERR(IRR($B$83:C83))),0,IF(IRR($B$83:C83)&lt;0,0,IRR($B$83:C83)))</f>
        <v>0</v>
      </c>
      <c r="D88" s="346">
        <f>IF((ISERR(IRR($B$83:D83))),0,IF(IRR($B$83:D83)&lt;0,0,IRR($B$83:D83)))</f>
        <v>1.3693643833875724E-2</v>
      </c>
      <c r="E88" s="346">
        <f>IF((ISERR(IRR($B$83:E83))),0,IF(IRR($B$83:E83)&lt;0,0,IRR($B$83:E83)))</f>
        <v>0</v>
      </c>
      <c r="F88" s="346">
        <f>IF((ISERR(IRR($B$83:F83))),0,IF(IRR($B$83:F83)&lt;0,0,IRR($B$83:F83)))</f>
        <v>0</v>
      </c>
      <c r="G88" s="346">
        <f>IF((ISERR(IRR($B$83:G83))),0,IF(IRR($B$83:G83)&lt;0,0,IRR($B$83:G83)))</f>
        <v>0</v>
      </c>
      <c r="H88" s="346">
        <f>IF((ISERR(IRR($B$83:H83))),0,IF(IRR($B$83:H83)&lt;0,0,IRR($B$83:H83)))</f>
        <v>0</v>
      </c>
      <c r="I88" s="346">
        <f>IF((ISERR(IRR($B$83:I83))),0,IF(IRR($B$83:I83)&lt;0,0,IRR($B$83:I83)))</f>
        <v>0</v>
      </c>
      <c r="J88" s="346">
        <f>IF((ISERR(IRR($B$83:J83))),0,IF(IRR($B$83:J83)&lt;0,0,IRR($B$83:J83)))</f>
        <v>0</v>
      </c>
      <c r="K88" s="346">
        <f>IF((ISERR(IRR($B$83:K83))),0,IF(IRR($B$83:K83)&lt;0,0,IRR($B$83:K83)))</f>
        <v>0</v>
      </c>
      <c r="L88" s="346">
        <f>IF((ISERR(IRR($B$83:L83))),0,IF(IRR($B$83:L83)&lt;0,0,IRR($B$83:L83)))</f>
        <v>0</v>
      </c>
      <c r="M88" s="346">
        <f>IF((ISERR(IRR($B$83:M83))),0,IF(IRR($B$83:M83)&lt;0,0,IRR($B$83:M83)))</f>
        <v>0</v>
      </c>
      <c r="N88" s="346">
        <f>IF((ISERR(IRR($B$83:N83))),0,IF(IRR($B$83:N83)&lt;0,0,IRR($B$83:N83)))</f>
        <v>0</v>
      </c>
      <c r="O88" s="346">
        <f>IF((ISERR(IRR($B$83:O83))),0,IF(IRR($B$83:O83)&lt;0,0,IRR($B$83:O83)))</f>
        <v>0</v>
      </c>
      <c r="P88" s="346">
        <f>IF((ISERR(IRR($B$83:P83))),0,IF(IRR($B$83:P83)&lt;0,0,IRR($B$83:P83)))</f>
        <v>0</v>
      </c>
      <c r="Q88" s="346">
        <f>IF((ISERR(IRR($B$83:Q83))),0,IF(IRR($B$83:Q83)&lt;0,0,IRR($B$83:Q83)))</f>
        <v>0</v>
      </c>
      <c r="R88" s="346">
        <f>IF((ISERR(IRR($B$83:R83))),0,IF(IRR($B$83:R83)&lt;0,0,IRR($B$83:R83)))</f>
        <v>0</v>
      </c>
      <c r="S88" s="346">
        <f>IF((ISERR(IRR($B$83:S83))),0,IF(IRR($B$83:S83)&lt;0,0,IRR($B$83:S83)))</f>
        <v>0</v>
      </c>
      <c r="T88" s="346">
        <f>IF((ISERR(IRR($B$83:T83))),0,IF(IRR($B$83:T83)&lt;0,0,IRR($B$83:T83)))</f>
        <v>0</v>
      </c>
      <c r="U88" s="346">
        <f>IF((ISERR(IRR($B$83:U83))),0,IF(IRR($B$83:U83)&lt;0,0,IRR($B$83:U83)))</f>
        <v>0</v>
      </c>
      <c r="V88" s="346">
        <f>IF((ISERR(IRR($B$83:V83))),0,IF(IRR($B$83:V83)&lt;0,0,IRR($B$83:V83)))</f>
        <v>0</v>
      </c>
      <c r="W88" s="346">
        <f>IF((ISERR(IRR($B$83:W83))),0,IF(IRR($B$83:W83)&lt;0,0,IRR($B$83:W83)))</f>
        <v>0</v>
      </c>
      <c r="X88" s="346">
        <f>IF((ISERR(IRR($B$83:X83))),0,IF(IRR($B$83:X83)&lt;0,0,IRR($B$83:X83)))</f>
        <v>0</v>
      </c>
      <c r="Y88" s="346">
        <f>IF((ISERR(IRR($B$83:Y83))),0,IF(IRR($B$83:Y83)&lt;0,0,IRR($B$83:Y83)))</f>
        <v>0</v>
      </c>
      <c r="Z88" s="346">
        <f>IF((ISERR(IRR($B$83:Z83))),0,IF(IRR($B$83:Z83)&lt;0,0,IRR($B$83:Z83)))</f>
        <v>0</v>
      </c>
      <c r="AA88" s="346">
        <f>IF((ISERR(IRR($B$83:AA83))),0,IF(IRR($B$83:AA83)&lt;0,0,IRR($B$83:AA83)))</f>
        <v>0</v>
      </c>
      <c r="AB88" s="346">
        <f>IF((ISERR(IRR($B$83:AB83))),0,IF(IRR($B$83:AB83)&lt;0,0,IRR($B$83:AB83)))</f>
        <v>0</v>
      </c>
      <c r="AC88" s="346">
        <f>IF((ISERR(IRR($B$83:AC83))),0,IF(IRR($B$83:AC83)&lt;0,0,IRR($B$83:AC83)))</f>
        <v>0</v>
      </c>
      <c r="AD88" s="346">
        <f>IF((ISERR(IRR($B$83:AD83))),0,IF(IRR($B$83:AD83)&lt;0,0,IRR($B$83:AD83)))</f>
        <v>0</v>
      </c>
      <c r="AE88" s="346">
        <f>IF((ISERR(IRR($B$83:AE83))),0,IF(IRR($B$83:AE83)&lt;0,0,IRR($B$83:AE83)))</f>
        <v>0</v>
      </c>
      <c r="AF88" s="346">
        <f>IF((ISERR(IRR($B$83:AF83))),0,IF(IRR($B$83:AF83)&lt;0,0,IRR($B$83:AF83)))</f>
        <v>0</v>
      </c>
      <c r="AG88" s="346">
        <f>IF((ISERR(IRR($B$83:AG83))),0,IF(IRR($B$83:AG83)&lt;0,0,IRR($B$83:AG83)))</f>
        <v>0</v>
      </c>
      <c r="AH88" s="346">
        <f>IF((ISERR(IRR($B$83:AH83))),0,IF(IRR($B$83:AH83)&lt;0,0,IRR($B$83:AH83)))</f>
        <v>0</v>
      </c>
      <c r="AI88" s="346">
        <f>IF((ISERR(IRR($B$83:AI83))),0,IF(IRR($B$83:AI83)&lt;0,0,IRR($B$83:AI83)))</f>
        <v>0</v>
      </c>
      <c r="AJ88" s="346">
        <f>IF((ISERR(IRR($B$83:AJ83))),0,IF(IRR($B$83:AJ83)&lt;0,0,IRR($B$83:AJ83)))</f>
        <v>0</v>
      </c>
      <c r="AK88" s="346">
        <f>IF((ISERR(IRR($B$83:AK83))),0,IF(IRR($B$83:AK83)&lt;0,0,IRR($B$83:AK83)))</f>
        <v>0</v>
      </c>
      <c r="AL88" s="346">
        <f>IF((ISERR(IRR($B$83:AL83))),0,IF(IRR($B$83:AL83)&lt;0,0,IRR($B$83:AL83)))</f>
        <v>0</v>
      </c>
      <c r="AM88" s="346">
        <f>IF((ISERR(IRR($B$83:AM83))),0,IF(IRR($B$83:AM83)&lt;0,0,IRR($B$83:AM83)))</f>
        <v>0</v>
      </c>
      <c r="AN88" s="346">
        <f>IF((ISERR(IRR($B$83:AN83))),0,IF(IRR($B$83:AN83)&lt;0,0,IRR($B$83:AN83)))</f>
        <v>0</v>
      </c>
      <c r="AO88" s="346">
        <f>IF((ISERR(IRR($B$83:AO83))),0,IF(IRR($B$83:AO83)&lt;0,0,IRR($B$83:AO83)))</f>
        <v>0</v>
      </c>
      <c r="AP88" s="346">
        <f>IF((ISERR(IRR($B$83:AP83))),0,IF(IRR($B$83:AP83)&lt;0,0,IRR($B$83:AP83)))</f>
        <v>0</v>
      </c>
    </row>
    <row r="89" spans="1:45" ht="14.25" x14ac:dyDescent="0.2">
      <c r="A89" s="283" t="s">
        <v>548</v>
      </c>
      <c r="B89" s="347">
        <f>IF(AND(B84&gt;0,A84&lt;0),(B74-(B84/(B84-A84))),0)</f>
        <v>0</v>
      </c>
      <c r="C89" s="347">
        <f t="shared" ref="C89:AP89" si="33">IF(AND(C84&gt;0,B84&lt;0),(C74-(C84/(C84-B84))),0)</f>
        <v>0</v>
      </c>
      <c r="D89" s="347">
        <f t="shared" si="33"/>
        <v>0</v>
      </c>
      <c r="E89" s="347">
        <f t="shared" si="33"/>
        <v>3.0472325838875269</v>
      </c>
      <c r="F89" s="347">
        <f t="shared" si="33"/>
        <v>0</v>
      </c>
      <c r="G89" s="347">
        <f t="shared" si="33"/>
        <v>0</v>
      </c>
      <c r="H89" s="347">
        <f>IF(AND(H84&gt;0,G84&lt;0),(H74-(H84/(H84-G84))),0)</f>
        <v>0</v>
      </c>
      <c r="I89" s="347">
        <f t="shared" si="33"/>
        <v>0</v>
      </c>
      <c r="J89" s="347">
        <f t="shared" si="33"/>
        <v>0</v>
      </c>
      <c r="K89" s="347">
        <f t="shared" si="33"/>
        <v>0</v>
      </c>
      <c r="L89" s="347">
        <f t="shared" si="33"/>
        <v>0</v>
      </c>
      <c r="M89" s="347">
        <f t="shared" si="33"/>
        <v>0</v>
      </c>
      <c r="N89" s="347">
        <f t="shared" si="33"/>
        <v>0</v>
      </c>
      <c r="O89" s="347">
        <f t="shared" si="33"/>
        <v>0</v>
      </c>
      <c r="P89" s="347">
        <f t="shared" si="33"/>
        <v>0</v>
      </c>
      <c r="Q89" s="347">
        <f t="shared" si="33"/>
        <v>0</v>
      </c>
      <c r="R89" s="347">
        <f t="shared" si="33"/>
        <v>0</v>
      </c>
      <c r="S89" s="347">
        <f t="shared" si="33"/>
        <v>0</v>
      </c>
      <c r="T89" s="347">
        <f t="shared" si="33"/>
        <v>0</v>
      </c>
      <c r="U89" s="347">
        <f t="shared" si="33"/>
        <v>0</v>
      </c>
      <c r="V89" s="347">
        <f t="shared" si="33"/>
        <v>0</v>
      </c>
      <c r="W89" s="347">
        <f t="shared" si="33"/>
        <v>0</v>
      </c>
      <c r="X89" s="347">
        <f t="shared" si="33"/>
        <v>0</v>
      </c>
      <c r="Y89" s="347">
        <f t="shared" si="33"/>
        <v>0</v>
      </c>
      <c r="Z89" s="347">
        <f t="shared" si="33"/>
        <v>0</v>
      </c>
      <c r="AA89" s="347">
        <f t="shared" si="33"/>
        <v>0</v>
      </c>
      <c r="AB89" s="347">
        <f t="shared" si="33"/>
        <v>0</v>
      </c>
      <c r="AC89" s="347">
        <f t="shared" si="33"/>
        <v>0</v>
      </c>
      <c r="AD89" s="347">
        <f t="shared" si="33"/>
        <v>0</v>
      </c>
      <c r="AE89" s="347">
        <f t="shared" si="33"/>
        <v>0</v>
      </c>
      <c r="AF89" s="347">
        <f t="shared" si="33"/>
        <v>0</v>
      </c>
      <c r="AG89" s="347">
        <f t="shared" si="33"/>
        <v>0</v>
      </c>
      <c r="AH89" s="347">
        <f t="shared" si="33"/>
        <v>0</v>
      </c>
      <c r="AI89" s="347">
        <f t="shared" si="33"/>
        <v>0</v>
      </c>
      <c r="AJ89" s="347">
        <f t="shared" si="33"/>
        <v>0</v>
      </c>
      <c r="AK89" s="347">
        <f t="shared" si="33"/>
        <v>0</v>
      </c>
      <c r="AL89" s="347">
        <f t="shared" si="33"/>
        <v>0</v>
      </c>
      <c r="AM89" s="347">
        <f t="shared" si="33"/>
        <v>0</v>
      </c>
      <c r="AN89" s="347">
        <f t="shared" si="33"/>
        <v>0</v>
      </c>
      <c r="AO89" s="347">
        <f t="shared" si="33"/>
        <v>0</v>
      </c>
      <c r="AP89" s="347">
        <f t="shared" si="33"/>
        <v>0</v>
      </c>
    </row>
    <row r="90" spans="1:45" ht="15" thickBot="1" x14ac:dyDescent="0.25">
      <c r="A90" s="290" t="s">
        <v>549</v>
      </c>
      <c r="B90" s="121">
        <f t="shared" ref="B90:AP90" si="34">IF(AND(B87&gt;0,A87&lt;0),(B74-(B87/(B87-A87))),0)</f>
        <v>0</v>
      </c>
      <c r="C90" s="121">
        <f t="shared" si="34"/>
        <v>0</v>
      </c>
      <c r="D90" s="121">
        <f t="shared" si="34"/>
        <v>0</v>
      </c>
      <c r="E90" s="121">
        <f t="shared" si="34"/>
        <v>0</v>
      </c>
      <c r="F90" s="121">
        <f t="shared" si="34"/>
        <v>0</v>
      </c>
      <c r="G90" s="121">
        <f t="shared" si="34"/>
        <v>0</v>
      </c>
      <c r="H90" s="121">
        <f t="shared" si="34"/>
        <v>0</v>
      </c>
      <c r="I90" s="121">
        <f t="shared" si="34"/>
        <v>0</v>
      </c>
      <c r="J90" s="121">
        <f t="shared" si="34"/>
        <v>0</v>
      </c>
      <c r="K90" s="121">
        <f t="shared" si="34"/>
        <v>0</v>
      </c>
      <c r="L90" s="121">
        <f t="shared" si="34"/>
        <v>0</v>
      </c>
      <c r="M90" s="121">
        <f t="shared" si="34"/>
        <v>0</v>
      </c>
      <c r="N90" s="121">
        <f t="shared" si="34"/>
        <v>0</v>
      </c>
      <c r="O90" s="121">
        <f t="shared" si="34"/>
        <v>0</v>
      </c>
      <c r="P90" s="121">
        <f t="shared" si="34"/>
        <v>0</v>
      </c>
      <c r="Q90" s="121">
        <f t="shared" si="34"/>
        <v>0</v>
      </c>
      <c r="R90" s="121">
        <f t="shared" si="34"/>
        <v>0</v>
      </c>
      <c r="S90" s="121">
        <f t="shared" si="34"/>
        <v>0</v>
      </c>
      <c r="T90" s="121">
        <f t="shared" si="34"/>
        <v>0</v>
      </c>
      <c r="U90" s="121">
        <f t="shared" si="34"/>
        <v>0</v>
      </c>
      <c r="V90" s="121">
        <f t="shared" si="34"/>
        <v>0</v>
      </c>
      <c r="W90" s="121">
        <f t="shared" si="34"/>
        <v>0</v>
      </c>
      <c r="X90" s="121">
        <f t="shared" si="34"/>
        <v>0</v>
      </c>
      <c r="Y90" s="121">
        <f t="shared" si="34"/>
        <v>0</v>
      </c>
      <c r="Z90" s="121">
        <f t="shared" si="34"/>
        <v>0</v>
      </c>
      <c r="AA90" s="121">
        <f t="shared" si="34"/>
        <v>0</v>
      </c>
      <c r="AB90" s="121">
        <f t="shared" si="34"/>
        <v>0</v>
      </c>
      <c r="AC90" s="121">
        <f t="shared" si="34"/>
        <v>0</v>
      </c>
      <c r="AD90" s="121">
        <f t="shared" si="34"/>
        <v>0</v>
      </c>
      <c r="AE90" s="121">
        <f t="shared" si="34"/>
        <v>0</v>
      </c>
      <c r="AF90" s="121">
        <f t="shared" si="34"/>
        <v>0</v>
      </c>
      <c r="AG90" s="121">
        <f t="shared" si="34"/>
        <v>0</v>
      </c>
      <c r="AH90" s="121">
        <f t="shared" si="34"/>
        <v>0</v>
      </c>
      <c r="AI90" s="121">
        <f t="shared" si="34"/>
        <v>0</v>
      </c>
      <c r="AJ90" s="121">
        <f t="shared" si="34"/>
        <v>0</v>
      </c>
      <c r="AK90" s="121">
        <f t="shared" si="34"/>
        <v>0</v>
      </c>
      <c r="AL90" s="121">
        <f t="shared" si="34"/>
        <v>0</v>
      </c>
      <c r="AM90" s="121">
        <f t="shared" si="34"/>
        <v>0</v>
      </c>
      <c r="AN90" s="121">
        <f t="shared" si="34"/>
        <v>0</v>
      </c>
      <c r="AO90" s="121">
        <f t="shared" si="34"/>
        <v>0</v>
      </c>
      <c r="AP90" s="121">
        <f t="shared" si="34"/>
        <v>0</v>
      </c>
    </row>
    <row r="91" spans="1:45" s="273" customFormat="1" x14ac:dyDescent="0.2">
      <c r="A91" s="253"/>
      <c r="B91" s="291">
        <v>2023</v>
      </c>
      <c r="C91" s="291">
        <f>B91+1</f>
        <v>2024</v>
      </c>
      <c r="D91" s="229">
        <f t="shared" ref="D91:AP91" si="35">C91+1</f>
        <v>2025</v>
      </c>
      <c r="E91" s="229">
        <f t="shared" si="35"/>
        <v>2026</v>
      </c>
      <c r="F91" s="229">
        <f t="shared" si="35"/>
        <v>2027</v>
      </c>
      <c r="G91" s="229">
        <f t="shared" si="35"/>
        <v>2028</v>
      </c>
      <c r="H91" s="229">
        <f t="shared" si="35"/>
        <v>2029</v>
      </c>
      <c r="I91" s="229">
        <f t="shared" si="35"/>
        <v>2030</v>
      </c>
      <c r="J91" s="229">
        <f t="shared" si="35"/>
        <v>2031</v>
      </c>
      <c r="K91" s="229">
        <f t="shared" si="35"/>
        <v>2032</v>
      </c>
      <c r="L91" s="229">
        <f t="shared" si="35"/>
        <v>2033</v>
      </c>
      <c r="M91" s="229">
        <f t="shared" si="35"/>
        <v>2034</v>
      </c>
      <c r="N91" s="229">
        <f t="shared" si="35"/>
        <v>2035</v>
      </c>
      <c r="O91" s="229">
        <f t="shared" si="35"/>
        <v>2036</v>
      </c>
      <c r="P91" s="229">
        <f t="shared" si="35"/>
        <v>2037</v>
      </c>
      <c r="Q91" s="229">
        <f t="shared" si="35"/>
        <v>2038</v>
      </c>
      <c r="R91" s="229">
        <f t="shared" si="35"/>
        <v>2039</v>
      </c>
      <c r="S91" s="229">
        <f t="shared" si="35"/>
        <v>2040</v>
      </c>
      <c r="T91" s="229">
        <f t="shared" si="35"/>
        <v>2041</v>
      </c>
      <c r="U91" s="229">
        <f t="shared" si="35"/>
        <v>2042</v>
      </c>
      <c r="V91" s="229">
        <f t="shared" si="35"/>
        <v>2043</v>
      </c>
      <c r="W91" s="229">
        <f t="shared" si="35"/>
        <v>2044</v>
      </c>
      <c r="X91" s="229">
        <f t="shared" si="35"/>
        <v>2045</v>
      </c>
      <c r="Y91" s="229">
        <f t="shared" si="35"/>
        <v>2046</v>
      </c>
      <c r="Z91" s="229">
        <f t="shared" si="35"/>
        <v>2047</v>
      </c>
      <c r="AA91" s="229">
        <f t="shared" si="35"/>
        <v>2048</v>
      </c>
      <c r="AB91" s="229">
        <f t="shared" si="35"/>
        <v>2049</v>
      </c>
      <c r="AC91" s="229">
        <f t="shared" si="35"/>
        <v>2050</v>
      </c>
      <c r="AD91" s="229">
        <f t="shared" si="35"/>
        <v>2051</v>
      </c>
      <c r="AE91" s="229">
        <f t="shared" si="35"/>
        <v>2052</v>
      </c>
      <c r="AF91" s="229">
        <f t="shared" si="35"/>
        <v>2053</v>
      </c>
      <c r="AG91" s="229">
        <f t="shared" si="35"/>
        <v>2054</v>
      </c>
      <c r="AH91" s="229">
        <f t="shared" si="35"/>
        <v>2055</v>
      </c>
      <c r="AI91" s="229">
        <f t="shared" si="35"/>
        <v>2056</v>
      </c>
      <c r="AJ91" s="229">
        <f t="shared" si="35"/>
        <v>2057</v>
      </c>
      <c r="AK91" s="229">
        <f t="shared" si="35"/>
        <v>2058</v>
      </c>
      <c r="AL91" s="229">
        <f t="shared" si="35"/>
        <v>2059</v>
      </c>
      <c r="AM91" s="229">
        <f t="shared" si="35"/>
        <v>2060</v>
      </c>
      <c r="AN91" s="229">
        <f t="shared" si="35"/>
        <v>2061</v>
      </c>
      <c r="AO91" s="229">
        <f t="shared" si="35"/>
        <v>2062</v>
      </c>
      <c r="AP91" s="229">
        <f t="shared" si="35"/>
        <v>2063</v>
      </c>
      <c r="AQ91" s="231"/>
      <c r="AR91" s="231"/>
      <c r="AS91" s="231"/>
    </row>
    <row r="92" spans="1:45" ht="15.6" customHeight="1" x14ac:dyDescent="0.2">
      <c r="A92" s="292" t="s">
        <v>550</v>
      </c>
      <c r="B92" s="293"/>
      <c r="C92" s="293"/>
      <c r="D92" s="293"/>
      <c r="E92" s="293"/>
      <c r="F92" s="293"/>
      <c r="G92" s="293"/>
      <c r="H92" s="293"/>
      <c r="I92" s="293"/>
      <c r="J92" s="293"/>
      <c r="K92" s="293"/>
      <c r="L92" s="294">
        <v>10</v>
      </c>
      <c r="M92" s="293">
        <v>10</v>
      </c>
      <c r="N92" s="293"/>
      <c r="O92" s="293"/>
      <c r="P92" s="293"/>
      <c r="Q92" s="293"/>
      <c r="R92" s="293"/>
      <c r="S92" s="293"/>
      <c r="T92" s="293"/>
      <c r="U92" s="293"/>
      <c r="V92" s="293"/>
      <c r="W92" s="293"/>
      <c r="X92" s="293"/>
      <c r="Y92" s="293"/>
      <c r="Z92" s="293"/>
      <c r="AA92" s="293">
        <v>25</v>
      </c>
      <c r="AB92" s="293"/>
      <c r="AC92" s="293"/>
      <c r="AD92" s="293"/>
      <c r="AE92" s="293"/>
      <c r="AF92" s="293">
        <v>30</v>
      </c>
      <c r="AG92" s="293"/>
      <c r="AH92" s="293"/>
      <c r="AI92" s="293"/>
      <c r="AJ92" s="293"/>
      <c r="AK92" s="293"/>
      <c r="AL92" s="293"/>
      <c r="AM92" s="293"/>
      <c r="AN92" s="293"/>
      <c r="AO92" s="293"/>
      <c r="AP92" s="293">
        <v>40</v>
      </c>
    </row>
    <row r="93" spans="1:45" ht="12.75" x14ac:dyDescent="0.2">
      <c r="A93" s="295" t="s">
        <v>551</v>
      </c>
      <c r="B93" s="295"/>
      <c r="C93" s="295"/>
      <c r="D93" s="295"/>
      <c r="E93" s="295"/>
      <c r="F93" s="295"/>
      <c r="G93" s="295"/>
      <c r="H93" s="295"/>
      <c r="I93" s="295"/>
      <c r="J93" s="295"/>
      <c r="K93" s="295"/>
      <c r="L93" s="295"/>
      <c r="M93" s="295"/>
      <c r="N93" s="295"/>
      <c r="O93" s="295"/>
      <c r="P93" s="295"/>
      <c r="Q93" s="295"/>
      <c r="R93" s="295"/>
      <c r="S93" s="295"/>
      <c r="T93" s="295"/>
      <c r="U93" s="295"/>
      <c r="V93" s="295"/>
      <c r="W93" s="295"/>
      <c r="X93" s="295"/>
      <c r="Y93" s="295"/>
      <c r="Z93" s="295"/>
      <c r="AA93" s="295"/>
      <c r="AB93" s="295"/>
      <c r="AC93" s="295"/>
      <c r="AD93" s="295"/>
      <c r="AE93" s="295"/>
      <c r="AF93" s="295"/>
      <c r="AG93" s="295"/>
      <c r="AH93" s="295"/>
      <c r="AI93" s="295"/>
      <c r="AJ93" s="295"/>
      <c r="AK93" s="295"/>
      <c r="AL93" s="295"/>
      <c r="AM93" s="295"/>
      <c r="AN93" s="295"/>
      <c r="AO93" s="295"/>
      <c r="AP93" s="295"/>
    </row>
    <row r="94" spans="1:45" ht="12.75" x14ac:dyDescent="0.2">
      <c r="A94" s="295" t="s">
        <v>552</v>
      </c>
      <c r="B94" s="295"/>
      <c r="C94" s="295"/>
      <c r="D94" s="295"/>
      <c r="E94" s="295"/>
      <c r="F94" s="295"/>
      <c r="G94" s="295"/>
      <c r="H94" s="295"/>
      <c r="I94" s="295"/>
      <c r="J94" s="295"/>
      <c r="K94" s="295"/>
      <c r="L94" s="295"/>
      <c r="M94" s="295"/>
      <c r="N94" s="295"/>
      <c r="O94" s="295"/>
      <c r="P94" s="295"/>
      <c r="Q94" s="295"/>
      <c r="R94" s="295"/>
      <c r="S94" s="295"/>
      <c r="T94" s="295"/>
      <c r="U94" s="295"/>
      <c r="V94" s="295"/>
      <c r="W94" s="295"/>
      <c r="X94" s="295"/>
      <c r="Y94" s="295"/>
      <c r="Z94" s="295"/>
      <c r="AA94" s="295"/>
      <c r="AB94" s="295"/>
      <c r="AC94" s="295"/>
      <c r="AD94" s="295"/>
      <c r="AE94" s="295"/>
      <c r="AF94" s="295"/>
      <c r="AG94" s="295"/>
      <c r="AH94" s="295"/>
      <c r="AI94" s="295"/>
      <c r="AJ94" s="295"/>
      <c r="AK94" s="295"/>
      <c r="AL94" s="295"/>
      <c r="AM94" s="295"/>
      <c r="AN94" s="295"/>
      <c r="AO94" s="295"/>
      <c r="AP94" s="295"/>
    </row>
    <row r="95" spans="1:45" ht="12.75" x14ac:dyDescent="0.2">
      <c r="A95" s="295" t="s">
        <v>553</v>
      </c>
      <c r="B95" s="295"/>
      <c r="C95" s="295"/>
      <c r="D95" s="295"/>
      <c r="E95" s="295"/>
      <c r="F95" s="295"/>
      <c r="G95" s="295"/>
      <c r="H95" s="295"/>
      <c r="I95" s="295"/>
      <c r="J95" s="295"/>
      <c r="K95" s="295"/>
      <c r="L95" s="295"/>
      <c r="M95" s="295"/>
      <c r="N95" s="295"/>
      <c r="O95" s="295"/>
      <c r="P95" s="295"/>
      <c r="Q95" s="295"/>
      <c r="R95" s="295"/>
      <c r="S95" s="295"/>
      <c r="T95" s="295"/>
      <c r="U95" s="295"/>
      <c r="V95" s="295"/>
      <c r="W95" s="295"/>
      <c r="X95" s="295"/>
      <c r="Y95" s="295"/>
      <c r="Z95" s="295"/>
      <c r="AA95" s="295"/>
      <c r="AB95" s="295"/>
      <c r="AC95" s="295"/>
      <c r="AD95" s="295"/>
      <c r="AE95" s="295"/>
      <c r="AF95" s="295"/>
      <c r="AG95" s="295"/>
      <c r="AH95" s="295"/>
      <c r="AI95" s="295"/>
      <c r="AJ95" s="295"/>
      <c r="AK95" s="295"/>
      <c r="AL95" s="295"/>
      <c r="AM95" s="295"/>
      <c r="AN95" s="295"/>
      <c r="AO95" s="295"/>
      <c r="AP95" s="295"/>
    </row>
    <row r="96" spans="1:45" ht="12.75" x14ac:dyDescent="0.2">
      <c r="A96" s="296" t="s">
        <v>554</v>
      </c>
      <c r="B96" s="293"/>
      <c r="C96" s="293"/>
      <c r="D96" s="293"/>
      <c r="E96" s="293"/>
      <c r="F96" s="293"/>
      <c r="G96" s="293"/>
      <c r="H96" s="293"/>
      <c r="I96" s="293"/>
      <c r="J96" s="293"/>
      <c r="K96" s="293"/>
      <c r="L96" s="293"/>
      <c r="M96" s="293"/>
      <c r="N96" s="293"/>
      <c r="O96" s="293"/>
      <c r="P96" s="293"/>
      <c r="Q96" s="293"/>
      <c r="R96" s="293"/>
      <c r="S96" s="293"/>
      <c r="T96" s="293"/>
      <c r="U96" s="293"/>
      <c r="V96" s="293"/>
      <c r="W96" s="293"/>
      <c r="X96" s="293"/>
      <c r="Y96" s="293"/>
      <c r="Z96" s="293"/>
      <c r="AA96" s="293"/>
      <c r="AB96" s="293"/>
      <c r="AC96" s="293"/>
      <c r="AD96" s="293"/>
      <c r="AE96" s="293"/>
      <c r="AF96" s="293"/>
      <c r="AG96" s="293"/>
      <c r="AH96" s="293"/>
      <c r="AI96" s="293"/>
      <c r="AJ96" s="293"/>
      <c r="AK96" s="293"/>
      <c r="AL96" s="293"/>
      <c r="AM96" s="293"/>
      <c r="AN96" s="293"/>
      <c r="AO96" s="293"/>
      <c r="AP96" s="293"/>
    </row>
    <row r="97" spans="1:71" ht="33" customHeight="1" x14ac:dyDescent="0.2">
      <c r="A97" s="478" t="s">
        <v>555</v>
      </c>
      <c r="B97" s="478"/>
      <c r="C97" s="478"/>
      <c r="D97" s="478"/>
      <c r="E97" s="478"/>
      <c r="F97" s="478"/>
      <c r="G97" s="478"/>
      <c r="H97" s="478"/>
      <c r="I97" s="478"/>
      <c r="J97" s="478"/>
      <c r="K97" s="478"/>
      <c r="L97" s="478"/>
      <c r="M97" s="116"/>
      <c r="N97" s="116"/>
      <c r="O97" s="116"/>
      <c r="P97" s="116"/>
      <c r="Q97" s="116"/>
      <c r="R97" s="116"/>
      <c r="S97" s="116"/>
      <c r="T97" s="116"/>
      <c r="U97" s="116"/>
      <c r="V97" s="116"/>
      <c r="W97" s="116"/>
      <c r="X97" s="116"/>
      <c r="Y97" s="116"/>
      <c r="Z97" s="116"/>
      <c r="AA97" s="116"/>
      <c r="AB97" s="116"/>
      <c r="AC97" s="116"/>
      <c r="AD97" s="116"/>
      <c r="AE97" s="116"/>
      <c r="AF97" s="116"/>
      <c r="AG97" s="116"/>
      <c r="AH97" s="116"/>
      <c r="AI97" s="116"/>
      <c r="AJ97" s="116"/>
      <c r="AK97" s="116"/>
      <c r="AL97" s="116"/>
      <c r="AM97" s="116"/>
      <c r="AN97" s="116"/>
      <c r="AO97" s="116"/>
      <c r="AP97" s="116"/>
    </row>
    <row r="98" spans="1:71" x14ac:dyDescent="0.2">
      <c r="C98" s="297"/>
    </row>
    <row r="99" spans="1:71" s="303" customFormat="1" ht="16.5" hidden="1" thickTop="1" x14ac:dyDescent="0.2">
      <c r="A99" s="298" t="s">
        <v>556</v>
      </c>
      <c r="B99" s="299">
        <f>B81*B85</f>
        <v>-13018210.143004416</v>
      </c>
      <c r="C99" s="300">
        <f>C81*C85</f>
        <v>-64862.253415745494</v>
      </c>
      <c r="D99" s="300">
        <f t="shared" ref="D99:AP99" si="36">D81*D85</f>
        <v>-37336421.996658489</v>
      </c>
      <c r="E99" s="300">
        <f t="shared" si="36"/>
        <v>0</v>
      </c>
      <c r="F99" s="300">
        <f t="shared" si="36"/>
        <v>0</v>
      </c>
      <c r="G99" s="300">
        <f t="shared" si="36"/>
        <v>0</v>
      </c>
      <c r="H99" s="300">
        <f t="shared" si="36"/>
        <v>0</v>
      </c>
      <c r="I99" s="300">
        <f t="shared" si="36"/>
        <v>0</v>
      </c>
      <c r="J99" s="300">
        <f>J81*J85</f>
        <v>0</v>
      </c>
      <c r="K99" s="300">
        <f t="shared" si="36"/>
        <v>0</v>
      </c>
      <c r="L99" s="300">
        <f>L81*L85</f>
        <v>0</v>
      </c>
      <c r="M99" s="300">
        <f t="shared" si="36"/>
        <v>0</v>
      </c>
      <c r="N99" s="300">
        <f t="shared" si="36"/>
        <v>0</v>
      </c>
      <c r="O99" s="300">
        <f t="shared" si="36"/>
        <v>0</v>
      </c>
      <c r="P99" s="300">
        <f t="shared" si="36"/>
        <v>0</v>
      </c>
      <c r="Q99" s="300">
        <f t="shared" si="36"/>
        <v>0</v>
      </c>
      <c r="R99" s="300">
        <f t="shared" si="36"/>
        <v>0</v>
      </c>
      <c r="S99" s="300">
        <f t="shared" si="36"/>
        <v>0</v>
      </c>
      <c r="T99" s="300">
        <f t="shared" si="36"/>
        <v>0</v>
      </c>
      <c r="U99" s="300">
        <f t="shared" si="36"/>
        <v>0</v>
      </c>
      <c r="V99" s="300">
        <f t="shared" si="36"/>
        <v>0</v>
      </c>
      <c r="W99" s="300">
        <f t="shared" si="36"/>
        <v>0</v>
      </c>
      <c r="X99" s="300">
        <f t="shared" si="36"/>
        <v>0</v>
      </c>
      <c r="Y99" s="300">
        <f t="shared" si="36"/>
        <v>0</v>
      </c>
      <c r="Z99" s="300">
        <f t="shared" si="36"/>
        <v>0</v>
      </c>
      <c r="AA99" s="300">
        <f t="shared" si="36"/>
        <v>0</v>
      </c>
      <c r="AB99" s="300">
        <f t="shared" si="36"/>
        <v>0</v>
      </c>
      <c r="AC99" s="300">
        <f t="shared" si="36"/>
        <v>0</v>
      </c>
      <c r="AD99" s="300">
        <f t="shared" si="36"/>
        <v>0</v>
      </c>
      <c r="AE99" s="300">
        <f t="shared" si="36"/>
        <v>0</v>
      </c>
      <c r="AF99" s="300">
        <f t="shared" si="36"/>
        <v>0</v>
      </c>
      <c r="AG99" s="300">
        <f t="shared" si="36"/>
        <v>0</v>
      </c>
      <c r="AH99" s="300">
        <f t="shared" si="36"/>
        <v>0</v>
      </c>
      <c r="AI99" s="300">
        <f t="shared" si="36"/>
        <v>0</v>
      </c>
      <c r="AJ99" s="300">
        <f t="shared" si="36"/>
        <v>0</v>
      </c>
      <c r="AK99" s="300">
        <f t="shared" si="36"/>
        <v>0</v>
      </c>
      <c r="AL99" s="300">
        <f t="shared" si="36"/>
        <v>0</v>
      </c>
      <c r="AM99" s="300">
        <f t="shared" si="36"/>
        <v>0</v>
      </c>
      <c r="AN99" s="300">
        <f t="shared" si="36"/>
        <v>0</v>
      </c>
      <c r="AO99" s="300">
        <f t="shared" si="36"/>
        <v>0</v>
      </c>
      <c r="AP99" s="300">
        <f t="shared" si="36"/>
        <v>0</v>
      </c>
      <c r="AQ99" s="301">
        <f>SUM(B99:AP99)</f>
        <v>-50419494.393078648</v>
      </c>
      <c r="AR99" s="302"/>
      <c r="AS99" s="302"/>
    </row>
    <row r="100" spans="1:71" s="306" customFormat="1" hidden="1" x14ac:dyDescent="0.2">
      <c r="A100" s="304">
        <f>AQ99</f>
        <v>-50419494.393078648</v>
      </c>
      <c r="B100" s="305"/>
      <c r="C100" s="270"/>
      <c r="D100" s="270"/>
      <c r="E100" s="270"/>
      <c r="F100" s="270"/>
      <c r="G100" s="270"/>
      <c r="H100" s="270"/>
      <c r="I100" s="270"/>
      <c r="J100" s="270"/>
      <c r="K100" s="270"/>
      <c r="L100" s="270"/>
      <c r="M100" s="270"/>
      <c r="N100" s="270"/>
      <c r="O100" s="270"/>
      <c r="P100" s="270"/>
      <c r="Q100" s="270"/>
      <c r="R100" s="270"/>
      <c r="S100" s="270"/>
      <c r="T100" s="270"/>
      <c r="U100" s="270"/>
      <c r="V100" s="270"/>
      <c r="W100" s="270"/>
      <c r="X100" s="270"/>
      <c r="Y100" s="270"/>
      <c r="Z100" s="270"/>
      <c r="AA100" s="270"/>
      <c r="AB100" s="270"/>
      <c r="AC100" s="270"/>
      <c r="AD100" s="270"/>
      <c r="AE100" s="270"/>
      <c r="AF100" s="270"/>
      <c r="AG100" s="270"/>
      <c r="AH100" s="270"/>
      <c r="AI100" s="270"/>
      <c r="AJ100" s="270"/>
      <c r="AK100" s="270"/>
      <c r="AL100" s="270"/>
      <c r="AM100" s="270"/>
      <c r="AN100" s="270"/>
      <c r="AO100" s="270"/>
      <c r="AP100" s="270"/>
      <c r="AQ100" s="231"/>
      <c r="AR100" s="231"/>
      <c r="AS100" s="231"/>
    </row>
    <row r="101" spans="1:71" s="306" customFormat="1" hidden="1" x14ac:dyDescent="0.2">
      <c r="A101" s="304">
        <f>AP87</f>
        <v>227307904.89638847</v>
      </c>
      <c r="B101" s="305"/>
      <c r="C101" s="270"/>
      <c r="D101" s="270"/>
      <c r="E101" s="270"/>
      <c r="F101" s="270"/>
      <c r="G101" s="270"/>
      <c r="H101" s="270"/>
      <c r="I101" s="270"/>
      <c r="J101" s="270"/>
      <c r="K101" s="270"/>
      <c r="L101" s="270"/>
      <c r="M101" s="270"/>
      <c r="N101" s="270"/>
      <c r="O101" s="270"/>
      <c r="P101" s="270"/>
      <c r="Q101" s="270"/>
      <c r="R101" s="270"/>
      <c r="S101" s="270"/>
      <c r="T101" s="270"/>
      <c r="U101" s="270"/>
      <c r="V101" s="270"/>
      <c r="W101" s="270"/>
      <c r="X101" s="270"/>
      <c r="Y101" s="270"/>
      <c r="Z101" s="270"/>
      <c r="AA101" s="270"/>
      <c r="AB101" s="270"/>
      <c r="AC101" s="270"/>
      <c r="AD101" s="270"/>
      <c r="AE101" s="270"/>
      <c r="AF101" s="270"/>
      <c r="AG101" s="270"/>
      <c r="AH101" s="270"/>
      <c r="AI101" s="270"/>
      <c r="AJ101" s="270"/>
      <c r="AK101" s="270"/>
      <c r="AL101" s="270"/>
      <c r="AM101" s="270"/>
      <c r="AN101" s="270"/>
      <c r="AO101" s="270"/>
      <c r="AP101" s="270"/>
      <c r="AQ101" s="231"/>
      <c r="AR101" s="231"/>
      <c r="AS101" s="231"/>
    </row>
    <row r="102" spans="1:71" s="306" customFormat="1" hidden="1" x14ac:dyDescent="0.2">
      <c r="A102" s="307" t="s">
        <v>557</v>
      </c>
      <c r="B102" s="348">
        <f>(A101+-A100)/-A100</f>
        <v>5.5083336838774848</v>
      </c>
      <c r="C102" s="270"/>
      <c r="D102" s="270"/>
      <c r="E102" s="270"/>
      <c r="F102" s="270"/>
      <c r="G102" s="270"/>
      <c r="H102" s="270"/>
      <c r="I102" s="270"/>
      <c r="J102" s="270"/>
      <c r="K102" s="270"/>
      <c r="L102" s="270"/>
      <c r="M102" s="270"/>
      <c r="N102" s="270"/>
      <c r="O102" s="270"/>
      <c r="P102" s="270"/>
      <c r="Q102" s="270"/>
      <c r="R102" s="270"/>
      <c r="S102" s="270"/>
      <c r="T102" s="270"/>
      <c r="U102" s="270"/>
      <c r="V102" s="270"/>
      <c r="W102" s="270"/>
      <c r="X102" s="270"/>
      <c r="Y102" s="270"/>
      <c r="Z102" s="270"/>
      <c r="AA102" s="270"/>
      <c r="AB102" s="270"/>
      <c r="AC102" s="270"/>
      <c r="AD102" s="270"/>
      <c r="AE102" s="270"/>
      <c r="AF102" s="270"/>
      <c r="AG102" s="270"/>
      <c r="AH102" s="270"/>
      <c r="AI102" s="270"/>
      <c r="AJ102" s="270"/>
      <c r="AK102" s="270"/>
      <c r="AL102" s="270"/>
      <c r="AM102" s="270"/>
      <c r="AN102" s="270"/>
      <c r="AO102" s="270"/>
      <c r="AP102" s="270"/>
      <c r="AQ102" s="231"/>
      <c r="AR102" s="231"/>
      <c r="AS102" s="231"/>
    </row>
    <row r="103" spans="1:71" s="306" customFormat="1" hidden="1" x14ac:dyDescent="0.2">
      <c r="A103" s="308"/>
      <c r="B103" s="270"/>
      <c r="C103" s="270"/>
      <c r="D103" s="270"/>
      <c r="E103" s="270"/>
      <c r="F103" s="270"/>
      <c r="G103" s="270"/>
      <c r="H103" s="270"/>
      <c r="I103" s="270"/>
      <c r="J103" s="270"/>
      <c r="K103" s="270"/>
      <c r="L103" s="270"/>
      <c r="M103" s="270"/>
      <c r="N103" s="270"/>
      <c r="O103" s="270"/>
      <c r="P103" s="270"/>
      <c r="Q103" s="270"/>
      <c r="R103" s="270"/>
      <c r="S103" s="270"/>
      <c r="T103" s="270"/>
      <c r="U103" s="270"/>
      <c r="V103" s="270"/>
      <c r="W103" s="270"/>
      <c r="X103" s="270"/>
      <c r="Y103" s="270"/>
      <c r="Z103" s="270"/>
      <c r="AA103" s="270"/>
      <c r="AB103" s="270"/>
      <c r="AC103" s="270"/>
      <c r="AD103" s="270"/>
      <c r="AE103" s="270"/>
      <c r="AF103" s="270"/>
      <c r="AG103" s="270"/>
      <c r="AH103" s="270"/>
      <c r="AI103" s="270"/>
      <c r="AJ103" s="270"/>
      <c r="AK103" s="270"/>
      <c r="AL103" s="270"/>
      <c r="AM103" s="270"/>
      <c r="AN103" s="270"/>
      <c r="AO103" s="270"/>
      <c r="AP103" s="270"/>
      <c r="AQ103" s="231"/>
      <c r="AR103" s="231"/>
      <c r="AS103" s="231"/>
    </row>
    <row r="104" spans="1:71" ht="12.75" hidden="1" x14ac:dyDescent="0.2">
      <c r="A104" s="349" t="s">
        <v>558</v>
      </c>
      <c r="B104" s="349" t="s">
        <v>559</v>
      </c>
      <c r="C104" s="349" t="s">
        <v>560</v>
      </c>
      <c r="D104" s="349" t="s">
        <v>561</v>
      </c>
      <c r="E104" s="309"/>
      <c r="F104" s="309"/>
      <c r="G104" s="309"/>
      <c r="H104" s="309"/>
      <c r="I104" s="309"/>
      <c r="J104" s="309"/>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10"/>
      <c r="AR104" s="310"/>
      <c r="AS104" s="310"/>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row>
    <row r="105" spans="1:71" ht="12.75" hidden="1" x14ac:dyDescent="0.2">
      <c r="A105" s="350">
        <f>G30/1000/1000</f>
        <v>149.28470179982895</v>
      </c>
      <c r="B105" s="351">
        <f>L88</f>
        <v>0</v>
      </c>
      <c r="C105" s="352">
        <f>G28</f>
        <v>3.0472325838875269</v>
      </c>
      <c r="D105" s="352" t="str">
        <f>G29</f>
        <v>не окупается</v>
      </c>
      <c r="E105" s="311" t="s">
        <v>562</v>
      </c>
      <c r="F105" s="311"/>
      <c r="G105" s="311"/>
      <c r="H105" s="311"/>
      <c r="I105" s="311"/>
      <c r="J105" s="311"/>
      <c r="K105" s="311"/>
      <c r="L105" s="311"/>
      <c r="M105" s="311"/>
      <c r="N105" s="311"/>
      <c r="O105" s="311"/>
      <c r="P105" s="311"/>
      <c r="Q105" s="311"/>
      <c r="R105" s="311"/>
      <c r="S105" s="311"/>
      <c r="T105" s="311"/>
      <c r="U105" s="311"/>
      <c r="V105" s="311"/>
      <c r="W105" s="311"/>
      <c r="X105" s="311"/>
      <c r="Y105" s="311"/>
      <c r="Z105" s="311"/>
      <c r="AA105" s="311"/>
      <c r="AB105" s="311"/>
      <c r="AC105" s="311"/>
      <c r="AD105" s="311"/>
      <c r="AE105" s="311"/>
      <c r="AF105" s="311"/>
      <c r="AG105" s="311"/>
      <c r="AH105" s="311"/>
      <c r="AI105" s="311"/>
      <c r="AJ105" s="311"/>
      <c r="AK105" s="311"/>
      <c r="AL105" s="311"/>
      <c r="AM105" s="311"/>
      <c r="AN105" s="311"/>
      <c r="AO105" s="311"/>
      <c r="AP105" s="311"/>
      <c r="AQ105" s="311"/>
      <c r="AR105" s="311"/>
      <c r="AS105" s="311"/>
      <c r="AT105" s="311"/>
      <c r="AU105" s="311"/>
      <c r="AV105" s="311"/>
      <c r="AW105" s="311"/>
      <c r="AX105" s="311"/>
      <c r="AY105" s="311"/>
      <c r="AZ105" s="311"/>
      <c r="BA105" s="311"/>
      <c r="BB105" s="311"/>
      <c r="BC105" s="311"/>
      <c r="BD105" s="311"/>
      <c r="BE105" s="311"/>
      <c r="BF105" s="311"/>
      <c r="BG105" s="311"/>
      <c r="BH105" s="311"/>
      <c r="BI105" s="311"/>
      <c r="BJ105" s="311"/>
      <c r="BK105" s="311"/>
      <c r="BL105" s="311"/>
      <c r="BM105" s="311"/>
      <c r="BN105" s="311"/>
      <c r="BO105" s="311"/>
      <c r="BP105" s="311"/>
      <c r="BQ105" s="311"/>
      <c r="BR105" s="311"/>
      <c r="BS105" s="311"/>
    </row>
    <row r="106" spans="1:71" ht="12.75" hidden="1" x14ac:dyDescent="0.2">
      <c r="A106" s="312"/>
      <c r="B106" s="309"/>
      <c r="C106" s="309"/>
      <c r="D106" s="309"/>
      <c r="E106" s="309"/>
      <c r="F106" s="309"/>
      <c r="G106" s="309"/>
      <c r="H106" s="309"/>
      <c r="I106" s="309"/>
      <c r="J106" s="309"/>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10"/>
      <c r="AR106" s="310"/>
      <c r="AS106" s="310"/>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row>
    <row r="107" spans="1:71" ht="12.75" hidden="1" x14ac:dyDescent="0.2">
      <c r="A107" s="353"/>
      <c r="B107" s="354">
        <v>2023</v>
      </c>
      <c r="C107" s="355">
        <f t="shared" ref="C107:AP107" si="37">B107+1</f>
        <v>2024</v>
      </c>
      <c r="D107" s="355">
        <f t="shared" si="37"/>
        <v>2025</v>
      </c>
      <c r="E107" s="355">
        <f t="shared" si="37"/>
        <v>2026</v>
      </c>
      <c r="F107" s="355">
        <f t="shared" si="37"/>
        <v>2027</v>
      </c>
      <c r="G107" s="355">
        <f t="shared" si="37"/>
        <v>2028</v>
      </c>
      <c r="H107" s="355">
        <f t="shared" si="37"/>
        <v>2029</v>
      </c>
      <c r="I107" s="355">
        <f t="shared" si="37"/>
        <v>2030</v>
      </c>
      <c r="J107" s="355">
        <f t="shared" si="37"/>
        <v>2031</v>
      </c>
      <c r="K107" s="355">
        <f t="shared" si="37"/>
        <v>2032</v>
      </c>
      <c r="L107" s="355">
        <f t="shared" si="37"/>
        <v>2033</v>
      </c>
      <c r="M107" s="355">
        <f t="shared" si="37"/>
        <v>2034</v>
      </c>
      <c r="N107" s="355">
        <f t="shared" si="37"/>
        <v>2035</v>
      </c>
      <c r="O107" s="355">
        <f t="shared" si="37"/>
        <v>2036</v>
      </c>
      <c r="P107" s="355">
        <f t="shared" si="37"/>
        <v>2037</v>
      </c>
      <c r="Q107" s="355">
        <f t="shared" si="37"/>
        <v>2038</v>
      </c>
      <c r="R107" s="355">
        <f t="shared" si="37"/>
        <v>2039</v>
      </c>
      <c r="S107" s="355">
        <f t="shared" si="37"/>
        <v>2040</v>
      </c>
      <c r="T107" s="355">
        <f t="shared" si="37"/>
        <v>2041</v>
      </c>
      <c r="U107" s="355">
        <f t="shared" si="37"/>
        <v>2042</v>
      </c>
      <c r="V107" s="355">
        <f t="shared" si="37"/>
        <v>2043</v>
      </c>
      <c r="W107" s="355">
        <f t="shared" si="37"/>
        <v>2044</v>
      </c>
      <c r="X107" s="355">
        <f t="shared" si="37"/>
        <v>2045</v>
      </c>
      <c r="Y107" s="355">
        <f t="shared" si="37"/>
        <v>2046</v>
      </c>
      <c r="Z107" s="355">
        <f t="shared" si="37"/>
        <v>2047</v>
      </c>
      <c r="AA107" s="355">
        <f t="shared" si="37"/>
        <v>2048</v>
      </c>
      <c r="AB107" s="355">
        <f t="shared" si="37"/>
        <v>2049</v>
      </c>
      <c r="AC107" s="355">
        <f t="shared" si="37"/>
        <v>2050</v>
      </c>
      <c r="AD107" s="355">
        <f t="shared" si="37"/>
        <v>2051</v>
      </c>
      <c r="AE107" s="355">
        <f t="shared" si="37"/>
        <v>2052</v>
      </c>
      <c r="AF107" s="355">
        <f t="shared" si="37"/>
        <v>2053</v>
      </c>
      <c r="AG107" s="355">
        <f t="shared" si="37"/>
        <v>2054</v>
      </c>
      <c r="AH107" s="355">
        <f t="shared" si="37"/>
        <v>2055</v>
      </c>
      <c r="AI107" s="355">
        <f t="shared" si="37"/>
        <v>2056</v>
      </c>
      <c r="AJ107" s="355">
        <f t="shared" si="37"/>
        <v>2057</v>
      </c>
      <c r="AK107" s="355">
        <f t="shared" si="37"/>
        <v>2058</v>
      </c>
      <c r="AL107" s="355">
        <f t="shared" si="37"/>
        <v>2059</v>
      </c>
      <c r="AM107" s="355">
        <f t="shared" si="37"/>
        <v>2060</v>
      </c>
      <c r="AN107" s="355">
        <f t="shared" si="37"/>
        <v>2061</v>
      </c>
      <c r="AO107" s="355">
        <f t="shared" si="37"/>
        <v>2062</v>
      </c>
      <c r="AP107" s="355">
        <f t="shared" si="37"/>
        <v>2063</v>
      </c>
      <c r="AT107" s="306"/>
      <c r="AU107" s="306"/>
      <c r="AV107" s="306"/>
      <c r="AW107" s="306"/>
      <c r="AX107" s="306"/>
      <c r="AY107" s="306"/>
      <c r="AZ107" s="306"/>
      <c r="BA107" s="306"/>
      <c r="BB107" s="306"/>
      <c r="BC107" s="306"/>
      <c r="BD107" s="306"/>
      <c r="BE107" s="306"/>
      <c r="BF107" s="306"/>
      <c r="BG107" s="306"/>
    </row>
    <row r="108" spans="1:71" ht="12.75" hidden="1" x14ac:dyDescent="0.2">
      <c r="A108" s="356" t="s">
        <v>563</v>
      </c>
      <c r="B108" s="357"/>
      <c r="C108" s="357">
        <f>C109*$B$111*C112</f>
        <v>0</v>
      </c>
      <c r="D108" s="357">
        <f>D109*$B$111*D112</f>
        <v>7182608.2970399996</v>
      </c>
      <c r="E108" s="357">
        <f t="shared" ref="E108:AP108" si="38">E109*$B$111*E112</f>
        <v>15625581.137639999</v>
      </c>
      <c r="F108" s="357">
        <f t="shared" si="38"/>
        <v>24890999.507999998</v>
      </c>
      <c r="G108" s="357">
        <f t="shared" si="38"/>
        <v>25743806.531999994</v>
      </c>
      <c r="H108" s="357">
        <f t="shared" si="38"/>
        <v>26773562.051999997</v>
      </c>
      <c r="I108" s="357">
        <f t="shared" si="38"/>
        <v>26773562.051999997</v>
      </c>
      <c r="J108" s="357">
        <f t="shared" si="38"/>
        <v>26773562.051999997</v>
      </c>
      <c r="K108" s="357">
        <f t="shared" si="38"/>
        <v>26773562.051999997</v>
      </c>
      <c r="L108" s="357">
        <f t="shared" si="38"/>
        <v>26773562.051999997</v>
      </c>
      <c r="M108" s="357">
        <f t="shared" si="38"/>
        <v>26773562.051999997</v>
      </c>
      <c r="N108" s="357">
        <f t="shared" si="38"/>
        <v>26773562.051999997</v>
      </c>
      <c r="O108" s="357">
        <f t="shared" si="38"/>
        <v>26773562.051999997</v>
      </c>
      <c r="P108" s="357">
        <f t="shared" si="38"/>
        <v>26773562.051999997</v>
      </c>
      <c r="Q108" s="357">
        <f t="shared" si="38"/>
        <v>26773562.051999997</v>
      </c>
      <c r="R108" s="357">
        <f t="shared" si="38"/>
        <v>26773562.051999997</v>
      </c>
      <c r="S108" s="357">
        <f t="shared" si="38"/>
        <v>26773562.051999997</v>
      </c>
      <c r="T108" s="357">
        <f t="shared" si="38"/>
        <v>26773562.051999997</v>
      </c>
      <c r="U108" s="357">
        <f t="shared" si="38"/>
        <v>26773562.051999997</v>
      </c>
      <c r="V108" s="357">
        <f t="shared" si="38"/>
        <v>26773562.051999997</v>
      </c>
      <c r="W108" s="357">
        <f t="shared" si="38"/>
        <v>26773562.051999997</v>
      </c>
      <c r="X108" s="357">
        <f t="shared" si="38"/>
        <v>26773562.051999997</v>
      </c>
      <c r="Y108" s="357">
        <f t="shared" si="38"/>
        <v>26773562.051999997</v>
      </c>
      <c r="Z108" s="357">
        <f t="shared" si="38"/>
        <v>26773562.051999997</v>
      </c>
      <c r="AA108" s="357">
        <f t="shared" si="38"/>
        <v>26773562.051999997</v>
      </c>
      <c r="AB108" s="357">
        <f t="shared" si="38"/>
        <v>26773562.051999997</v>
      </c>
      <c r="AC108" s="357">
        <f t="shared" si="38"/>
        <v>26773562.051999997</v>
      </c>
      <c r="AD108" s="357">
        <f t="shared" si="38"/>
        <v>26773562.051999997</v>
      </c>
      <c r="AE108" s="357">
        <f t="shared" si="38"/>
        <v>26773562.051999997</v>
      </c>
      <c r="AF108" s="357">
        <f t="shared" si="38"/>
        <v>26773562.051999997</v>
      </c>
      <c r="AG108" s="357">
        <f t="shared" si="38"/>
        <v>26773562.051999997</v>
      </c>
      <c r="AH108" s="357">
        <f t="shared" si="38"/>
        <v>26773562.051999997</v>
      </c>
      <c r="AI108" s="357">
        <f t="shared" si="38"/>
        <v>26773562.051999997</v>
      </c>
      <c r="AJ108" s="357">
        <f t="shared" si="38"/>
        <v>26773562.051999997</v>
      </c>
      <c r="AK108" s="357">
        <f t="shared" si="38"/>
        <v>26773562.051999997</v>
      </c>
      <c r="AL108" s="357">
        <f t="shared" si="38"/>
        <v>26773562.051999997</v>
      </c>
      <c r="AM108" s="357">
        <f t="shared" si="38"/>
        <v>26773562.051999997</v>
      </c>
      <c r="AN108" s="357">
        <f t="shared" si="38"/>
        <v>26773562.051999997</v>
      </c>
      <c r="AO108" s="357">
        <f t="shared" si="38"/>
        <v>26773562.051999997</v>
      </c>
      <c r="AP108" s="357">
        <f t="shared" si="38"/>
        <v>26773562.051999997</v>
      </c>
      <c r="AT108" s="306"/>
      <c r="AU108" s="306"/>
      <c r="AV108" s="306"/>
      <c r="AW108" s="306"/>
      <c r="AX108" s="306"/>
      <c r="AY108" s="306"/>
      <c r="AZ108" s="306"/>
      <c r="BA108" s="306"/>
      <c r="BB108" s="306"/>
      <c r="BC108" s="306"/>
      <c r="BD108" s="306"/>
      <c r="BE108" s="306"/>
      <c r="BF108" s="306"/>
      <c r="BG108" s="306"/>
    </row>
    <row r="109" spans="1:71" ht="12.75" hidden="1" x14ac:dyDescent="0.2">
      <c r="A109" s="356" t="s">
        <v>564</v>
      </c>
      <c r="B109" s="355"/>
      <c r="C109" s="355">
        <f>B109+$I$120*C113</f>
        <v>0</v>
      </c>
      <c r="D109" s="355">
        <f>C109+$I$120*D113</f>
        <v>0.61380000000000001</v>
      </c>
      <c r="E109" s="355">
        <f t="shared" ref="E109:AP109" si="39">D109+$I$120*E113</f>
        <v>1.2462</v>
      </c>
      <c r="F109" s="355">
        <f t="shared" si="39"/>
        <v>1.8599999999999999</v>
      </c>
      <c r="G109" s="355">
        <f t="shared" si="39"/>
        <v>1.8599999999999999</v>
      </c>
      <c r="H109" s="355">
        <f t="shared" si="39"/>
        <v>1.8599999999999999</v>
      </c>
      <c r="I109" s="355">
        <f t="shared" si="39"/>
        <v>1.8599999999999999</v>
      </c>
      <c r="J109" s="355">
        <f t="shared" si="39"/>
        <v>1.8599999999999999</v>
      </c>
      <c r="K109" s="355">
        <f t="shared" si="39"/>
        <v>1.8599999999999999</v>
      </c>
      <c r="L109" s="355">
        <f t="shared" si="39"/>
        <v>1.8599999999999999</v>
      </c>
      <c r="M109" s="355">
        <f t="shared" si="39"/>
        <v>1.8599999999999999</v>
      </c>
      <c r="N109" s="355">
        <f t="shared" si="39"/>
        <v>1.8599999999999999</v>
      </c>
      <c r="O109" s="355">
        <f t="shared" si="39"/>
        <v>1.8599999999999999</v>
      </c>
      <c r="P109" s="355">
        <f t="shared" si="39"/>
        <v>1.8599999999999999</v>
      </c>
      <c r="Q109" s="355">
        <f t="shared" si="39"/>
        <v>1.8599999999999999</v>
      </c>
      <c r="R109" s="355">
        <f t="shared" si="39"/>
        <v>1.8599999999999999</v>
      </c>
      <c r="S109" s="355">
        <f t="shared" si="39"/>
        <v>1.8599999999999999</v>
      </c>
      <c r="T109" s="355">
        <f t="shared" si="39"/>
        <v>1.8599999999999999</v>
      </c>
      <c r="U109" s="355">
        <f t="shared" si="39"/>
        <v>1.8599999999999999</v>
      </c>
      <c r="V109" s="355">
        <f t="shared" si="39"/>
        <v>1.8599999999999999</v>
      </c>
      <c r="W109" s="355">
        <f t="shared" si="39"/>
        <v>1.8599999999999999</v>
      </c>
      <c r="X109" s="355">
        <f t="shared" si="39"/>
        <v>1.8599999999999999</v>
      </c>
      <c r="Y109" s="355">
        <f t="shared" si="39"/>
        <v>1.8599999999999999</v>
      </c>
      <c r="Z109" s="355">
        <f t="shared" si="39"/>
        <v>1.8599999999999999</v>
      </c>
      <c r="AA109" s="355">
        <f t="shared" si="39"/>
        <v>1.8599999999999999</v>
      </c>
      <c r="AB109" s="355">
        <f t="shared" si="39"/>
        <v>1.8599999999999999</v>
      </c>
      <c r="AC109" s="355">
        <f t="shared" si="39"/>
        <v>1.8599999999999999</v>
      </c>
      <c r="AD109" s="355">
        <f t="shared" si="39"/>
        <v>1.8599999999999999</v>
      </c>
      <c r="AE109" s="355">
        <f t="shared" si="39"/>
        <v>1.8599999999999999</v>
      </c>
      <c r="AF109" s="355">
        <f t="shared" si="39"/>
        <v>1.8599999999999999</v>
      </c>
      <c r="AG109" s="355">
        <f t="shared" si="39"/>
        <v>1.8599999999999999</v>
      </c>
      <c r="AH109" s="355">
        <f t="shared" si="39"/>
        <v>1.8599999999999999</v>
      </c>
      <c r="AI109" s="355">
        <f t="shared" si="39"/>
        <v>1.8599999999999999</v>
      </c>
      <c r="AJ109" s="355">
        <f t="shared" si="39"/>
        <v>1.8599999999999999</v>
      </c>
      <c r="AK109" s="355">
        <f t="shared" si="39"/>
        <v>1.8599999999999999</v>
      </c>
      <c r="AL109" s="355">
        <f t="shared" si="39"/>
        <v>1.8599999999999999</v>
      </c>
      <c r="AM109" s="355">
        <f t="shared" si="39"/>
        <v>1.8599999999999999</v>
      </c>
      <c r="AN109" s="355">
        <f t="shared" si="39"/>
        <v>1.8599999999999999</v>
      </c>
      <c r="AO109" s="355">
        <f t="shared" si="39"/>
        <v>1.8599999999999999</v>
      </c>
      <c r="AP109" s="355">
        <f t="shared" si="39"/>
        <v>1.8599999999999999</v>
      </c>
      <c r="AT109" s="306"/>
      <c r="AU109" s="306"/>
      <c r="AV109" s="306"/>
      <c r="AW109" s="306"/>
      <c r="AX109" s="306"/>
      <c r="AY109" s="306"/>
      <c r="AZ109" s="306"/>
      <c r="BA109" s="306"/>
      <c r="BB109" s="306"/>
      <c r="BC109" s="306"/>
      <c r="BD109" s="306"/>
      <c r="BE109" s="306"/>
      <c r="BF109" s="306"/>
      <c r="BG109" s="306"/>
    </row>
    <row r="110" spans="1:71" ht="12.75" hidden="1" x14ac:dyDescent="0.2">
      <c r="A110" s="356" t="s">
        <v>565</v>
      </c>
      <c r="B110" s="358">
        <v>0.93</v>
      </c>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c r="Y110" s="355"/>
      <c r="Z110" s="355"/>
      <c r="AA110" s="355"/>
      <c r="AB110" s="355"/>
      <c r="AC110" s="355"/>
      <c r="AD110" s="355"/>
      <c r="AE110" s="355"/>
      <c r="AF110" s="355"/>
      <c r="AG110" s="355"/>
      <c r="AH110" s="355"/>
      <c r="AI110" s="355"/>
      <c r="AJ110" s="355"/>
      <c r="AK110" s="355"/>
      <c r="AL110" s="355"/>
      <c r="AM110" s="355"/>
      <c r="AN110" s="355"/>
      <c r="AO110" s="355"/>
      <c r="AP110" s="355"/>
      <c r="AT110" s="306"/>
      <c r="AU110" s="306"/>
      <c r="AV110" s="306"/>
      <c r="AW110" s="306"/>
      <c r="AX110" s="306"/>
      <c r="AY110" s="306"/>
      <c r="AZ110" s="306"/>
      <c r="BA110" s="306"/>
      <c r="BB110" s="306"/>
      <c r="BC110" s="306"/>
      <c r="BD110" s="306"/>
      <c r="BE110" s="306"/>
      <c r="BF110" s="306"/>
      <c r="BG110" s="306"/>
    </row>
    <row r="111" spans="1:71" ht="12.75" hidden="1" x14ac:dyDescent="0.2">
      <c r="A111" s="356" t="s">
        <v>566</v>
      </c>
      <c r="B111" s="358">
        <v>4380</v>
      </c>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c r="Y111" s="355"/>
      <c r="Z111" s="355"/>
      <c r="AA111" s="355"/>
      <c r="AB111" s="355"/>
      <c r="AC111" s="355"/>
      <c r="AD111" s="355"/>
      <c r="AE111" s="355"/>
      <c r="AF111" s="355"/>
      <c r="AG111" s="355"/>
      <c r="AH111" s="355"/>
      <c r="AI111" s="355"/>
      <c r="AJ111" s="355"/>
      <c r="AK111" s="355"/>
      <c r="AL111" s="355"/>
      <c r="AM111" s="355"/>
      <c r="AN111" s="355"/>
      <c r="AO111" s="355"/>
      <c r="AP111" s="355"/>
      <c r="AT111" s="306"/>
      <c r="AU111" s="306"/>
      <c r="AV111" s="306"/>
      <c r="AW111" s="306"/>
      <c r="AX111" s="306"/>
      <c r="AY111" s="306"/>
      <c r="AZ111" s="306"/>
      <c r="BA111" s="306"/>
      <c r="BB111" s="306"/>
      <c r="BC111" s="306"/>
      <c r="BD111" s="306"/>
      <c r="BE111" s="306"/>
      <c r="BF111" s="306"/>
      <c r="BG111" s="306"/>
    </row>
    <row r="112" spans="1:71" ht="12.75" hidden="1" x14ac:dyDescent="0.2">
      <c r="A112" s="356" t="s">
        <v>567</v>
      </c>
      <c r="B112" s="354">
        <f>$B$131</f>
        <v>2024</v>
      </c>
      <c r="C112" s="355">
        <v>2457.5300000000002</v>
      </c>
      <c r="D112" s="355">
        <v>2671.66</v>
      </c>
      <c r="E112" s="355">
        <v>2862.69</v>
      </c>
      <c r="F112" s="355">
        <v>3055.31</v>
      </c>
      <c r="G112" s="355">
        <v>3159.99</v>
      </c>
      <c r="H112" s="355">
        <v>3286.39</v>
      </c>
      <c r="I112" s="355">
        <v>3286.39</v>
      </c>
      <c r="J112" s="355">
        <v>3286.39</v>
      </c>
      <c r="K112" s="355">
        <v>3286.39</v>
      </c>
      <c r="L112" s="355">
        <v>3286.39</v>
      </c>
      <c r="M112" s="355">
        <v>3286.39</v>
      </c>
      <c r="N112" s="355">
        <v>3286.39</v>
      </c>
      <c r="O112" s="355">
        <v>3286.39</v>
      </c>
      <c r="P112" s="355">
        <v>3286.39</v>
      </c>
      <c r="Q112" s="355">
        <v>3286.39</v>
      </c>
      <c r="R112" s="355">
        <v>3286.39</v>
      </c>
      <c r="S112" s="355">
        <v>3286.39</v>
      </c>
      <c r="T112" s="355">
        <v>3286.39</v>
      </c>
      <c r="U112" s="355">
        <v>3286.39</v>
      </c>
      <c r="V112" s="355">
        <v>3286.39</v>
      </c>
      <c r="W112" s="355">
        <v>3286.39</v>
      </c>
      <c r="X112" s="355">
        <v>3286.39</v>
      </c>
      <c r="Y112" s="355">
        <v>3286.39</v>
      </c>
      <c r="Z112" s="355">
        <v>3286.39</v>
      </c>
      <c r="AA112" s="355">
        <v>3286.39</v>
      </c>
      <c r="AB112" s="355">
        <v>3286.39</v>
      </c>
      <c r="AC112" s="355">
        <v>3286.39</v>
      </c>
      <c r="AD112" s="355">
        <v>3286.39</v>
      </c>
      <c r="AE112" s="355">
        <v>3286.39</v>
      </c>
      <c r="AF112" s="355">
        <v>3286.39</v>
      </c>
      <c r="AG112" s="355">
        <v>3286.39</v>
      </c>
      <c r="AH112" s="355">
        <v>3286.39</v>
      </c>
      <c r="AI112" s="355">
        <v>3286.39</v>
      </c>
      <c r="AJ112" s="355">
        <v>3286.39</v>
      </c>
      <c r="AK112" s="355">
        <v>3286.39</v>
      </c>
      <c r="AL112" s="355">
        <v>3286.39</v>
      </c>
      <c r="AM112" s="355">
        <v>3286.39</v>
      </c>
      <c r="AN112" s="355">
        <v>3286.39</v>
      </c>
      <c r="AO112" s="355">
        <v>3286.39</v>
      </c>
      <c r="AP112" s="355">
        <v>3286.39</v>
      </c>
      <c r="AT112" s="306"/>
      <c r="AU112" s="306"/>
      <c r="AV112" s="306"/>
      <c r="AW112" s="306"/>
      <c r="AX112" s="306"/>
      <c r="AY112" s="306"/>
      <c r="AZ112" s="306"/>
      <c r="BA112" s="306"/>
      <c r="BB112" s="306"/>
      <c r="BC112" s="306"/>
      <c r="BD112" s="306"/>
      <c r="BE112" s="306"/>
      <c r="BF112" s="306"/>
      <c r="BG112" s="306"/>
    </row>
    <row r="113" spans="1:71" ht="15" hidden="1" x14ac:dyDescent="0.2">
      <c r="A113" s="359" t="s">
        <v>568</v>
      </c>
      <c r="B113" s="360">
        <v>0</v>
      </c>
      <c r="C113" s="361">
        <v>0</v>
      </c>
      <c r="D113" s="361">
        <v>0.33</v>
      </c>
      <c r="E113" s="361">
        <v>0.34</v>
      </c>
      <c r="F113" s="360">
        <v>0.33</v>
      </c>
      <c r="G113" s="360">
        <v>0</v>
      </c>
      <c r="H113" s="360">
        <v>0</v>
      </c>
      <c r="I113" s="360">
        <v>0</v>
      </c>
      <c r="J113" s="360">
        <v>0</v>
      </c>
      <c r="K113" s="360">
        <v>0</v>
      </c>
      <c r="L113" s="360">
        <v>0</v>
      </c>
      <c r="M113" s="360">
        <v>0</v>
      </c>
      <c r="N113" s="360">
        <v>0</v>
      </c>
      <c r="O113" s="360">
        <v>0</v>
      </c>
      <c r="P113" s="360">
        <v>0</v>
      </c>
      <c r="Q113" s="360">
        <v>0</v>
      </c>
      <c r="R113" s="360">
        <v>0</v>
      </c>
      <c r="S113" s="360">
        <v>0</v>
      </c>
      <c r="T113" s="360">
        <v>0</v>
      </c>
      <c r="U113" s="360">
        <v>0</v>
      </c>
      <c r="V113" s="360">
        <v>0</v>
      </c>
      <c r="W113" s="360">
        <v>0</v>
      </c>
      <c r="X113" s="360">
        <v>0</v>
      </c>
      <c r="Y113" s="360">
        <v>0</v>
      </c>
      <c r="Z113" s="360">
        <v>0</v>
      </c>
      <c r="AA113" s="360">
        <v>0</v>
      </c>
      <c r="AB113" s="360">
        <v>0</v>
      </c>
      <c r="AC113" s="360">
        <v>0</v>
      </c>
      <c r="AD113" s="360">
        <v>0</v>
      </c>
      <c r="AE113" s="360">
        <v>0</v>
      </c>
      <c r="AF113" s="360">
        <v>0</v>
      </c>
      <c r="AG113" s="360">
        <v>0</v>
      </c>
      <c r="AH113" s="360">
        <v>0</v>
      </c>
      <c r="AI113" s="360">
        <v>0</v>
      </c>
      <c r="AJ113" s="360">
        <v>0</v>
      </c>
      <c r="AK113" s="360">
        <v>0</v>
      </c>
      <c r="AL113" s="360">
        <v>0</v>
      </c>
      <c r="AM113" s="360">
        <v>0</v>
      </c>
      <c r="AN113" s="360">
        <v>0</v>
      </c>
      <c r="AO113" s="360">
        <v>0</v>
      </c>
      <c r="AP113" s="360">
        <v>0</v>
      </c>
      <c r="AT113" s="306"/>
      <c r="AU113" s="306"/>
      <c r="AV113" s="306"/>
      <c r="AW113" s="306"/>
      <c r="AX113" s="306"/>
      <c r="AY113" s="306"/>
      <c r="AZ113" s="306"/>
      <c r="BA113" s="306"/>
      <c r="BB113" s="306"/>
      <c r="BC113" s="306"/>
      <c r="BD113" s="306"/>
      <c r="BE113" s="306"/>
      <c r="BF113" s="306"/>
      <c r="BG113" s="306"/>
    </row>
    <row r="114" spans="1:71" ht="12.75" hidden="1" x14ac:dyDescent="0.2">
      <c r="A114" s="312"/>
      <c r="B114" s="309"/>
      <c r="C114" s="309"/>
      <c r="D114" s="309"/>
      <c r="E114" s="309"/>
      <c r="F114" s="309"/>
      <c r="G114" s="309"/>
      <c r="H114" s="309"/>
      <c r="I114" s="309"/>
      <c r="J114" s="309"/>
      <c r="K114" s="309"/>
      <c r="L114" s="309"/>
      <c r="M114" s="309"/>
      <c r="N114" s="309"/>
      <c r="O114" s="309"/>
      <c r="P114" s="309"/>
      <c r="Q114" s="309"/>
      <c r="R114" s="309"/>
      <c r="S114" s="309"/>
      <c r="T114" s="309"/>
      <c r="U114" s="309"/>
      <c r="V114" s="309"/>
      <c r="W114" s="309"/>
      <c r="X114" s="309"/>
      <c r="Y114" s="309"/>
      <c r="Z114" s="309"/>
      <c r="AA114" s="309"/>
      <c r="AB114" s="309"/>
      <c r="AC114" s="309"/>
      <c r="AD114" s="309"/>
      <c r="AE114" s="309"/>
      <c r="AF114" s="309"/>
      <c r="AG114" s="309"/>
      <c r="AH114" s="309"/>
      <c r="AI114" s="309"/>
      <c r="AJ114" s="309"/>
      <c r="AK114" s="309"/>
      <c r="AL114" s="309"/>
      <c r="AM114" s="309"/>
      <c r="AN114" s="309"/>
      <c r="AO114" s="309"/>
      <c r="AP114" s="309"/>
      <c r="AQ114" s="310"/>
      <c r="AR114" s="310"/>
      <c r="AS114" s="310"/>
      <c r="AT114" s="309"/>
      <c r="AU114" s="309"/>
      <c r="AV114" s="309"/>
      <c r="AW114" s="309"/>
      <c r="AX114" s="309"/>
      <c r="AY114" s="309"/>
      <c r="AZ114" s="309"/>
      <c r="BA114" s="309"/>
      <c r="BB114" s="309"/>
      <c r="BC114" s="309"/>
      <c r="BD114" s="309"/>
      <c r="BE114" s="309"/>
      <c r="BF114" s="309"/>
      <c r="BG114" s="309"/>
      <c r="BH114" s="309"/>
      <c r="BI114" s="309"/>
      <c r="BJ114" s="309"/>
      <c r="BK114" s="309"/>
      <c r="BL114" s="309"/>
      <c r="BM114" s="309"/>
      <c r="BN114" s="309"/>
      <c r="BO114" s="309"/>
      <c r="BP114" s="309"/>
      <c r="BQ114" s="309"/>
      <c r="BR114" s="309"/>
      <c r="BS114" s="309"/>
    </row>
    <row r="115" spans="1:71" ht="12.75" hidden="1" x14ac:dyDescent="0.2">
      <c r="A115" s="312"/>
      <c r="B115" s="309"/>
      <c r="C115" s="309"/>
      <c r="D115" s="309"/>
      <c r="E115" s="309"/>
      <c r="F115" s="309"/>
      <c r="G115" s="309"/>
      <c r="H115" s="309"/>
      <c r="I115" s="309"/>
      <c r="J115" s="309"/>
      <c r="K115" s="309"/>
      <c r="L115" s="309"/>
      <c r="M115" s="309"/>
      <c r="N115" s="309"/>
      <c r="O115" s="309"/>
      <c r="P115" s="309"/>
      <c r="Q115" s="309"/>
      <c r="R115" s="309"/>
      <c r="S115" s="309"/>
      <c r="T115" s="309"/>
      <c r="U115" s="309"/>
      <c r="V115" s="309"/>
      <c r="W115" s="309"/>
      <c r="X115" s="309"/>
      <c r="Y115" s="309"/>
      <c r="Z115" s="309"/>
      <c r="AA115" s="309"/>
      <c r="AB115" s="309"/>
      <c r="AC115" s="309"/>
      <c r="AD115" s="309"/>
      <c r="AE115" s="309"/>
      <c r="AF115" s="309"/>
      <c r="AG115" s="309"/>
      <c r="AH115" s="309"/>
      <c r="AI115" s="309"/>
      <c r="AJ115" s="309"/>
      <c r="AK115" s="309"/>
      <c r="AL115" s="309"/>
      <c r="AM115" s="309"/>
      <c r="AN115" s="309"/>
      <c r="AO115" s="309"/>
      <c r="AP115" s="309"/>
      <c r="AQ115" s="310"/>
      <c r="AR115" s="310"/>
      <c r="AS115" s="310"/>
      <c r="AT115" s="309"/>
      <c r="AU115" s="309"/>
      <c r="AV115" s="309"/>
      <c r="AW115" s="309"/>
      <c r="AX115" s="309"/>
      <c r="AY115" s="309"/>
      <c r="AZ115" s="309"/>
      <c r="BA115" s="309"/>
      <c r="BB115" s="309"/>
      <c r="BC115" s="309"/>
      <c r="BD115" s="309"/>
      <c r="BE115" s="309"/>
      <c r="BF115" s="309"/>
      <c r="BG115" s="309"/>
      <c r="BH115" s="309"/>
      <c r="BI115" s="309"/>
      <c r="BJ115" s="309"/>
      <c r="BK115" s="309"/>
      <c r="BL115" s="309"/>
      <c r="BM115" s="309"/>
      <c r="BN115" s="309"/>
      <c r="BO115" s="309"/>
      <c r="BP115" s="309"/>
      <c r="BQ115" s="309"/>
      <c r="BR115" s="309"/>
      <c r="BS115" s="309"/>
    </row>
    <row r="116" spans="1:71" ht="12.75" hidden="1" x14ac:dyDescent="0.2">
      <c r="A116" s="353"/>
      <c r="B116" s="479" t="s">
        <v>569</v>
      </c>
      <c r="C116" s="480"/>
      <c r="D116" s="479" t="s">
        <v>570</v>
      </c>
      <c r="E116" s="480"/>
      <c r="F116" s="353"/>
      <c r="G116" s="353"/>
      <c r="H116" s="353"/>
      <c r="I116" s="353"/>
      <c r="J116" s="353"/>
      <c r="K116" s="309"/>
      <c r="L116" s="309"/>
      <c r="M116" s="309"/>
      <c r="N116" s="309"/>
      <c r="O116" s="309"/>
      <c r="P116" s="309"/>
      <c r="Q116" s="309"/>
      <c r="R116" s="309"/>
      <c r="S116" s="309"/>
      <c r="T116" s="309"/>
      <c r="U116" s="309"/>
      <c r="V116" s="309"/>
      <c r="W116" s="309"/>
      <c r="X116" s="309"/>
      <c r="Y116" s="309"/>
      <c r="Z116" s="309"/>
      <c r="AA116" s="309"/>
      <c r="AB116" s="309"/>
      <c r="AC116" s="309"/>
      <c r="AD116" s="309"/>
      <c r="AE116" s="309"/>
      <c r="AF116" s="309"/>
      <c r="AG116" s="309"/>
      <c r="AH116" s="309"/>
      <c r="AI116" s="309"/>
      <c r="AJ116" s="309"/>
      <c r="AK116" s="309"/>
      <c r="AL116" s="309"/>
      <c r="AM116" s="309"/>
      <c r="AN116" s="309"/>
      <c r="AO116" s="309"/>
      <c r="AP116" s="309"/>
      <c r="AQ116" s="310"/>
      <c r="AR116" s="310"/>
      <c r="AS116" s="310"/>
      <c r="AT116" s="309"/>
      <c r="AU116" s="309"/>
      <c r="AV116" s="309"/>
      <c r="AW116" s="309"/>
      <c r="AX116" s="309"/>
      <c r="AY116" s="309"/>
      <c r="AZ116" s="309"/>
      <c r="BA116" s="309"/>
      <c r="BB116" s="309"/>
      <c r="BC116" s="309"/>
      <c r="BD116" s="309"/>
      <c r="BE116" s="309"/>
      <c r="BF116" s="309"/>
      <c r="BG116" s="309"/>
      <c r="BH116" s="309"/>
      <c r="BI116" s="309"/>
      <c r="BJ116" s="309"/>
      <c r="BK116" s="309"/>
      <c r="BL116" s="309"/>
      <c r="BM116" s="309"/>
      <c r="BN116" s="309"/>
      <c r="BO116" s="309"/>
      <c r="BP116" s="309"/>
      <c r="BQ116" s="309"/>
      <c r="BR116" s="309"/>
      <c r="BS116" s="309"/>
    </row>
    <row r="117" spans="1:71" ht="12.75" hidden="1" x14ac:dyDescent="0.2">
      <c r="A117" s="356" t="s">
        <v>571</v>
      </c>
      <c r="B117" s="362"/>
      <c r="C117" s="353" t="s">
        <v>572</v>
      </c>
      <c r="D117" s="362">
        <f>'3.1. паспорт Техсостояние ПС'!O24</f>
        <v>2</v>
      </c>
      <c r="E117" s="353" t="s">
        <v>572</v>
      </c>
      <c r="F117" s="353"/>
      <c r="G117" s="353"/>
      <c r="H117" s="353"/>
      <c r="I117" s="353"/>
      <c r="J117" s="353"/>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10"/>
      <c r="AR117" s="310"/>
      <c r="AS117" s="310"/>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row>
    <row r="118" spans="1:71" ht="25.5" hidden="1" x14ac:dyDescent="0.2">
      <c r="A118" s="356" t="s">
        <v>571</v>
      </c>
      <c r="B118" s="353">
        <f>$B$110*B117</f>
        <v>0</v>
      </c>
      <c r="C118" s="353" t="s">
        <v>125</v>
      </c>
      <c r="D118" s="353">
        <f>$B$110*D117</f>
        <v>1.86</v>
      </c>
      <c r="E118" s="353" t="s">
        <v>125</v>
      </c>
      <c r="F118" s="356" t="s">
        <v>573</v>
      </c>
      <c r="G118" s="353">
        <f>D117-B117</f>
        <v>2</v>
      </c>
      <c r="H118" s="353" t="s">
        <v>572</v>
      </c>
      <c r="I118" s="363">
        <f>$B$110*G118</f>
        <v>1.86</v>
      </c>
      <c r="J118" s="353" t="s">
        <v>125</v>
      </c>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10"/>
      <c r="AR118" s="310"/>
      <c r="AS118" s="310"/>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row>
    <row r="119" spans="1:71" ht="25.5" hidden="1" x14ac:dyDescent="0.2">
      <c r="A119" s="353"/>
      <c r="B119" s="353"/>
      <c r="C119" s="353"/>
      <c r="D119" s="353"/>
      <c r="E119" s="353"/>
      <c r="F119" s="356" t="s">
        <v>574</v>
      </c>
      <c r="G119" s="353">
        <f>I119/$B$110</f>
        <v>1.2467741935483869</v>
      </c>
      <c r="H119" s="353" t="s">
        <v>572</v>
      </c>
      <c r="I119" s="362">
        <v>1.1595</v>
      </c>
      <c r="J119" s="353" t="s">
        <v>125</v>
      </c>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10"/>
      <c r="AR119" s="310"/>
      <c r="AS119" s="310"/>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row>
    <row r="120" spans="1:71" ht="38.25" hidden="1" x14ac:dyDescent="0.2">
      <c r="A120" s="364"/>
      <c r="B120" s="365"/>
      <c r="C120" s="365"/>
      <c r="D120" s="365"/>
      <c r="E120" s="365"/>
      <c r="F120" s="366" t="s">
        <v>575</v>
      </c>
      <c r="G120" s="363">
        <f>G118</f>
        <v>2</v>
      </c>
      <c r="H120" s="353" t="s">
        <v>572</v>
      </c>
      <c r="I120" s="358">
        <f>I118</f>
        <v>1.86</v>
      </c>
      <c r="J120" s="353" t="s">
        <v>125</v>
      </c>
      <c r="K120" s="309"/>
      <c r="L120" s="309"/>
      <c r="M120" s="309"/>
      <c r="N120" s="309"/>
      <c r="O120" s="309"/>
      <c r="P120" s="309"/>
      <c r="Q120" s="309"/>
      <c r="R120" s="309"/>
      <c r="S120" s="309"/>
      <c r="T120" s="309"/>
      <c r="U120" s="309"/>
      <c r="V120" s="309"/>
      <c r="W120" s="309"/>
      <c r="X120" s="309"/>
      <c r="Y120" s="309"/>
      <c r="Z120" s="309"/>
      <c r="AA120" s="309"/>
      <c r="AB120" s="309"/>
      <c r="AC120" s="309"/>
      <c r="AD120" s="309"/>
      <c r="AE120" s="309"/>
      <c r="AF120" s="309"/>
      <c r="AG120" s="309"/>
      <c r="AH120" s="309"/>
      <c r="AI120" s="309"/>
      <c r="AJ120" s="309"/>
      <c r="AK120" s="309"/>
      <c r="AL120" s="309"/>
      <c r="AM120" s="309"/>
      <c r="AN120" s="309"/>
      <c r="AO120" s="309"/>
      <c r="AP120" s="309"/>
      <c r="AQ120" s="310"/>
      <c r="AR120" s="310"/>
      <c r="AS120" s="310"/>
      <c r="AT120" s="309"/>
      <c r="AU120" s="309"/>
      <c r="AV120" s="309"/>
      <c r="AW120" s="309"/>
      <c r="AX120" s="309"/>
      <c r="AY120" s="309"/>
      <c r="AZ120" s="309"/>
      <c r="BA120" s="309"/>
      <c r="BB120" s="309"/>
      <c r="BC120" s="309"/>
      <c r="BD120" s="309"/>
      <c r="BE120" s="309"/>
      <c r="BF120" s="309"/>
      <c r="BG120" s="309"/>
      <c r="BH120" s="309"/>
      <c r="BI120" s="309"/>
      <c r="BJ120" s="309"/>
      <c r="BK120" s="309"/>
      <c r="BL120" s="309"/>
      <c r="BM120" s="309"/>
      <c r="BN120" s="309"/>
      <c r="BO120" s="309"/>
      <c r="BP120" s="309"/>
      <c r="BQ120" s="309"/>
      <c r="BR120" s="309"/>
      <c r="BS120" s="309"/>
    </row>
    <row r="121" spans="1:71" ht="12.75" hidden="1" x14ac:dyDescent="0.2">
      <c r="A121" s="313"/>
      <c r="B121" s="311"/>
      <c r="C121" s="309"/>
      <c r="D121" s="309"/>
      <c r="E121" s="309"/>
      <c r="F121" s="309"/>
      <c r="G121" s="309"/>
      <c r="H121" s="309"/>
      <c r="I121" s="309"/>
      <c r="J121" s="309"/>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10"/>
      <c r="AR121" s="310"/>
      <c r="AS121" s="310"/>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row>
    <row r="122" spans="1:71" hidden="1" x14ac:dyDescent="0.2">
      <c r="A122" s="367" t="s">
        <v>576</v>
      </c>
      <c r="B122" s="368">
        <v>76.061160819999998</v>
      </c>
      <c r="C122" s="311" t="s">
        <v>611</v>
      </c>
      <c r="D122" s="481" t="s">
        <v>251</v>
      </c>
      <c r="E122" s="314" t="s">
        <v>577</v>
      </c>
      <c r="F122" s="315">
        <v>35</v>
      </c>
      <c r="G122" s="482" t="s">
        <v>578</v>
      </c>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1"/>
      <c r="AO122" s="311"/>
      <c r="AP122" s="311"/>
      <c r="AQ122" s="311"/>
      <c r="AR122" s="311"/>
      <c r="AS122" s="311"/>
      <c r="AT122" s="311"/>
      <c r="AU122" s="311"/>
      <c r="AV122" s="311"/>
      <c r="AW122" s="311"/>
      <c r="AX122" s="311"/>
      <c r="AY122" s="311"/>
      <c r="AZ122" s="311"/>
      <c r="BA122" s="311"/>
      <c r="BB122" s="311"/>
      <c r="BC122" s="311"/>
      <c r="BD122" s="311"/>
      <c r="BE122" s="311"/>
      <c r="BF122" s="311"/>
      <c r="BG122" s="311"/>
      <c r="BH122" s="311"/>
      <c r="BI122" s="311"/>
      <c r="BJ122" s="311"/>
      <c r="BK122" s="311"/>
      <c r="BL122" s="311"/>
      <c r="BM122" s="311"/>
      <c r="BN122" s="311"/>
      <c r="BO122" s="311"/>
      <c r="BP122" s="311"/>
      <c r="BQ122" s="311"/>
      <c r="BR122" s="311"/>
      <c r="BS122" s="311"/>
    </row>
    <row r="123" spans="1:71" hidden="1" x14ac:dyDescent="0.2">
      <c r="A123" s="367" t="s">
        <v>251</v>
      </c>
      <c r="B123" s="369">
        <v>30</v>
      </c>
      <c r="C123" s="311"/>
      <c r="D123" s="481"/>
      <c r="E123" s="314" t="s">
        <v>537</v>
      </c>
      <c r="F123" s="315">
        <v>30</v>
      </c>
      <c r="G123" s="482"/>
      <c r="H123" s="311"/>
      <c r="I123" s="311"/>
      <c r="J123" s="311"/>
      <c r="K123" s="311"/>
      <c r="L123" s="311"/>
      <c r="M123" s="311"/>
      <c r="N123" s="311"/>
      <c r="O123" s="311"/>
      <c r="P123" s="311"/>
      <c r="Q123" s="311"/>
      <c r="R123" s="311"/>
      <c r="S123" s="311"/>
      <c r="T123" s="311"/>
      <c r="U123" s="311"/>
      <c r="V123" s="311"/>
      <c r="W123" s="311"/>
      <c r="X123" s="311"/>
      <c r="Y123" s="311"/>
      <c r="Z123" s="311"/>
      <c r="AA123" s="311"/>
      <c r="AB123" s="311"/>
      <c r="AC123" s="311"/>
      <c r="AD123" s="311"/>
      <c r="AE123" s="311"/>
      <c r="AF123" s="311"/>
      <c r="AG123" s="311"/>
      <c r="AH123" s="311"/>
      <c r="AI123" s="311"/>
      <c r="AJ123" s="311"/>
      <c r="AK123" s="311"/>
      <c r="AL123" s="311"/>
      <c r="AM123" s="311"/>
      <c r="AN123" s="311"/>
      <c r="AO123" s="311"/>
      <c r="AP123" s="311"/>
      <c r="AQ123" s="311"/>
      <c r="AR123" s="311"/>
      <c r="AS123" s="311"/>
      <c r="AT123" s="311"/>
      <c r="AU123" s="311"/>
      <c r="AV123" s="311"/>
      <c r="AW123" s="311"/>
      <c r="AX123" s="311"/>
      <c r="AY123" s="311"/>
      <c r="AZ123" s="311"/>
      <c r="BA123" s="311"/>
      <c r="BB123" s="311"/>
      <c r="BC123" s="311"/>
      <c r="BD123" s="311"/>
      <c r="BE123" s="311"/>
      <c r="BF123" s="311"/>
      <c r="BG123" s="311"/>
      <c r="BH123" s="311"/>
      <c r="BI123" s="311"/>
      <c r="BJ123" s="311"/>
      <c r="BK123" s="311"/>
      <c r="BL123" s="311"/>
      <c r="BM123" s="311"/>
      <c r="BN123" s="311"/>
      <c r="BO123" s="311"/>
      <c r="BP123" s="311"/>
      <c r="BQ123" s="311"/>
      <c r="BR123" s="311"/>
      <c r="BS123" s="311"/>
    </row>
    <row r="124" spans="1:71" hidden="1" x14ac:dyDescent="0.2">
      <c r="A124" s="367" t="s">
        <v>579</v>
      </c>
      <c r="B124" s="369" t="s">
        <v>534</v>
      </c>
      <c r="C124" s="316" t="s">
        <v>580</v>
      </c>
      <c r="D124" s="481"/>
      <c r="E124" s="314" t="s">
        <v>581</v>
      </c>
      <c r="F124" s="315">
        <v>30</v>
      </c>
      <c r="G124" s="482"/>
      <c r="H124" s="311"/>
      <c r="I124" s="311"/>
      <c r="J124" s="311"/>
      <c r="K124" s="311"/>
      <c r="L124" s="311"/>
      <c r="M124" s="311"/>
      <c r="N124" s="311"/>
      <c r="O124" s="311"/>
      <c r="P124" s="311"/>
      <c r="Q124" s="311"/>
      <c r="R124" s="311"/>
      <c r="S124" s="311"/>
      <c r="T124" s="311"/>
      <c r="U124" s="311"/>
      <c r="V124" s="311"/>
      <c r="W124" s="311"/>
      <c r="X124" s="311"/>
      <c r="Y124" s="311"/>
      <c r="Z124" s="311"/>
      <c r="AA124" s="311"/>
      <c r="AB124" s="311"/>
      <c r="AC124" s="311"/>
      <c r="AD124" s="311"/>
      <c r="AE124" s="311"/>
      <c r="AF124" s="311"/>
      <c r="AG124" s="311"/>
      <c r="AH124" s="311"/>
      <c r="AI124" s="311"/>
      <c r="AJ124" s="311"/>
      <c r="AK124" s="311"/>
      <c r="AL124" s="311"/>
      <c r="AM124" s="311"/>
      <c r="AN124" s="311"/>
      <c r="AO124" s="311"/>
      <c r="AP124" s="311"/>
      <c r="AQ124" s="311"/>
      <c r="AR124" s="311"/>
      <c r="AS124" s="311"/>
      <c r="AT124" s="311"/>
      <c r="AU124" s="311"/>
      <c r="AV124" s="311"/>
      <c r="AW124" s="311"/>
      <c r="AX124" s="311"/>
      <c r="AY124" s="311"/>
      <c r="AZ124" s="311"/>
      <c r="BA124" s="311"/>
      <c r="BB124" s="311"/>
      <c r="BC124" s="311"/>
      <c r="BD124" s="311"/>
      <c r="BE124" s="311"/>
      <c r="BF124" s="311"/>
      <c r="BG124" s="311"/>
      <c r="BH124" s="311"/>
      <c r="BI124" s="311"/>
      <c r="BJ124" s="311"/>
      <c r="BK124" s="311"/>
      <c r="BL124" s="311"/>
      <c r="BM124" s="311"/>
      <c r="BN124" s="311"/>
      <c r="BO124" s="311"/>
      <c r="BP124" s="311"/>
      <c r="BQ124" s="311"/>
      <c r="BR124" s="311"/>
      <c r="BS124" s="311"/>
    </row>
    <row r="125" spans="1:71" s="273" customFormat="1" hidden="1" x14ac:dyDescent="0.2">
      <c r="A125" s="370"/>
      <c r="B125" s="371"/>
      <c r="C125" s="317"/>
      <c r="D125" s="481"/>
      <c r="E125" s="314" t="s">
        <v>582</v>
      </c>
      <c r="F125" s="315">
        <v>30</v>
      </c>
      <c r="G125" s="482"/>
      <c r="H125" s="318"/>
      <c r="I125" s="318"/>
      <c r="J125" s="318"/>
      <c r="K125" s="318"/>
      <c r="L125" s="318"/>
      <c r="M125" s="318"/>
      <c r="N125" s="318"/>
      <c r="O125" s="318"/>
      <c r="P125" s="318"/>
      <c r="Q125" s="318"/>
      <c r="R125" s="318"/>
      <c r="S125" s="318"/>
      <c r="T125" s="318"/>
      <c r="U125" s="318"/>
      <c r="V125" s="318"/>
      <c r="W125" s="318"/>
      <c r="X125" s="318"/>
      <c r="Y125" s="318"/>
      <c r="Z125" s="318"/>
      <c r="AA125" s="318"/>
      <c r="AB125" s="318"/>
      <c r="AC125" s="318"/>
      <c r="AD125" s="318"/>
      <c r="AE125" s="318"/>
      <c r="AF125" s="318"/>
      <c r="AG125" s="318"/>
      <c r="AH125" s="318"/>
      <c r="AI125" s="318"/>
      <c r="AJ125" s="318"/>
      <c r="AK125" s="318"/>
      <c r="AL125" s="318"/>
      <c r="AM125" s="318"/>
      <c r="AN125" s="318"/>
      <c r="AO125" s="318"/>
      <c r="AP125" s="318"/>
      <c r="AQ125" s="318"/>
      <c r="AR125" s="318"/>
      <c r="AS125" s="318"/>
      <c r="AT125" s="318"/>
      <c r="AU125" s="318"/>
      <c r="AV125" s="318"/>
      <c r="AW125" s="318"/>
      <c r="AX125" s="318"/>
      <c r="AY125" s="318"/>
      <c r="AZ125" s="318"/>
      <c r="BA125" s="318"/>
      <c r="BB125" s="318"/>
      <c r="BC125" s="318"/>
      <c r="BD125" s="318"/>
      <c r="BE125" s="318"/>
      <c r="BF125" s="318"/>
      <c r="BG125" s="318"/>
      <c r="BH125" s="318"/>
      <c r="BI125" s="318"/>
      <c r="BJ125" s="318"/>
      <c r="BK125" s="318"/>
      <c r="BL125" s="318"/>
      <c r="BM125" s="318"/>
      <c r="BN125" s="318"/>
      <c r="BO125" s="318"/>
      <c r="BP125" s="318"/>
      <c r="BQ125" s="318"/>
      <c r="BR125" s="318"/>
      <c r="BS125" s="318"/>
    </row>
    <row r="126" spans="1:71" ht="12.75" hidden="1" x14ac:dyDescent="0.2">
      <c r="A126" s="367" t="s">
        <v>583</v>
      </c>
      <c r="B126" s="372">
        <f>$B$122*1000*1000</f>
        <v>76061160.820000008</v>
      </c>
      <c r="C126" s="311"/>
      <c r="D126" s="311"/>
      <c r="E126" s="311"/>
      <c r="F126" s="311"/>
      <c r="G126" s="311"/>
      <c r="H126" s="311"/>
      <c r="I126" s="311"/>
      <c r="J126" s="311"/>
      <c r="K126" s="311"/>
      <c r="L126" s="311"/>
      <c r="M126" s="311"/>
      <c r="N126" s="311"/>
      <c r="O126" s="311"/>
      <c r="P126" s="311"/>
      <c r="Q126" s="311"/>
      <c r="R126" s="311"/>
      <c r="S126" s="311"/>
      <c r="T126" s="311"/>
      <c r="U126" s="311"/>
      <c r="V126" s="311"/>
      <c r="W126" s="311"/>
      <c r="X126" s="311"/>
      <c r="Y126" s="311"/>
      <c r="Z126" s="311"/>
      <c r="AA126" s="311"/>
      <c r="AB126" s="311"/>
      <c r="AC126" s="311"/>
      <c r="AD126" s="311"/>
      <c r="AE126" s="311"/>
      <c r="AF126" s="311"/>
      <c r="AG126" s="311"/>
      <c r="AH126" s="311"/>
      <c r="AI126" s="311"/>
      <c r="AJ126" s="311"/>
      <c r="AK126" s="311"/>
      <c r="AL126" s="311"/>
      <c r="AM126" s="311"/>
      <c r="AN126" s="311"/>
      <c r="AO126" s="311"/>
      <c r="AP126" s="311"/>
      <c r="AQ126" s="311"/>
      <c r="AR126" s="311"/>
      <c r="AS126" s="311"/>
      <c r="AT126" s="311"/>
      <c r="AU126" s="311"/>
      <c r="AV126" s="311"/>
      <c r="AW126" s="311"/>
      <c r="AX126" s="311"/>
      <c r="AY126" s="311"/>
      <c r="AZ126" s="311"/>
      <c r="BA126" s="311"/>
      <c r="BB126" s="311"/>
      <c r="BC126" s="311"/>
      <c r="BD126" s="311"/>
      <c r="BE126" s="311"/>
      <c r="BF126" s="311"/>
      <c r="BG126" s="311"/>
      <c r="BH126" s="311"/>
      <c r="BI126" s="311"/>
      <c r="BJ126" s="311"/>
      <c r="BK126" s="311"/>
      <c r="BL126" s="311"/>
      <c r="BM126" s="311"/>
      <c r="BN126" s="311"/>
      <c r="BO126" s="311"/>
      <c r="BP126" s="311"/>
      <c r="BQ126" s="311"/>
      <c r="BR126" s="311"/>
      <c r="BS126" s="311"/>
    </row>
    <row r="127" spans="1:71" ht="12.75" hidden="1" x14ac:dyDescent="0.2">
      <c r="A127" s="367" t="s">
        <v>584</v>
      </c>
      <c r="B127" s="373">
        <v>0.03</v>
      </c>
      <c r="C127" s="311"/>
      <c r="D127" s="311"/>
      <c r="E127" s="311"/>
      <c r="F127" s="311"/>
      <c r="G127" s="311"/>
      <c r="H127" s="311"/>
      <c r="I127" s="311"/>
      <c r="J127" s="311"/>
      <c r="K127" s="311"/>
      <c r="L127" s="311"/>
      <c r="M127" s="311"/>
      <c r="N127" s="311"/>
      <c r="O127" s="311"/>
      <c r="P127" s="311"/>
      <c r="Q127" s="311"/>
      <c r="R127" s="311"/>
      <c r="S127" s="311"/>
      <c r="T127" s="311"/>
      <c r="U127" s="311"/>
      <c r="V127" s="311"/>
      <c r="W127" s="311"/>
      <c r="X127" s="311"/>
      <c r="Y127" s="311"/>
      <c r="Z127" s="311"/>
      <c r="AA127" s="311"/>
      <c r="AB127" s="311"/>
      <c r="AC127" s="311"/>
      <c r="AD127" s="311"/>
      <c r="AE127" s="311"/>
      <c r="AF127" s="311"/>
      <c r="AG127" s="311"/>
      <c r="AH127" s="311"/>
      <c r="AI127" s="311"/>
      <c r="AJ127" s="311"/>
      <c r="AK127" s="311"/>
      <c r="AL127" s="311"/>
      <c r="AM127" s="311"/>
      <c r="AN127" s="311"/>
      <c r="AO127" s="311"/>
      <c r="AP127" s="311"/>
      <c r="AQ127" s="311"/>
      <c r="AR127" s="311"/>
      <c r="AS127" s="311"/>
      <c r="AT127" s="311"/>
      <c r="AU127" s="311"/>
      <c r="AV127" s="311"/>
      <c r="AW127" s="311"/>
      <c r="AX127" s="311"/>
      <c r="AY127" s="311"/>
      <c r="AZ127" s="311"/>
      <c r="BA127" s="311"/>
      <c r="BB127" s="311"/>
      <c r="BC127" s="311"/>
      <c r="BD127" s="311"/>
      <c r="BE127" s="311"/>
      <c r="BF127" s="311"/>
      <c r="BG127" s="311"/>
      <c r="BH127" s="311"/>
      <c r="BI127" s="311"/>
      <c r="BJ127" s="311"/>
      <c r="BK127" s="311"/>
      <c r="BL127" s="311"/>
      <c r="BM127" s="311"/>
      <c r="BN127" s="311"/>
      <c r="BO127" s="311"/>
      <c r="BP127" s="311"/>
      <c r="BQ127" s="311"/>
      <c r="BR127" s="311"/>
      <c r="BS127" s="311"/>
    </row>
    <row r="128" spans="1:71" ht="51" hidden="1" customHeight="1" x14ac:dyDescent="0.2">
      <c r="A128" s="418" t="s">
        <v>342</v>
      </c>
      <c r="B128" s="419">
        <v>65.277327159999999</v>
      </c>
      <c r="C128" s="311"/>
      <c r="D128" s="311"/>
      <c r="E128" s="311"/>
      <c r="F128" s="311"/>
      <c r="G128" s="311"/>
      <c r="H128" s="311"/>
      <c r="I128" s="311"/>
      <c r="J128" s="311"/>
      <c r="K128" s="311"/>
      <c r="L128" s="311"/>
      <c r="M128" s="311"/>
      <c r="N128" s="311"/>
      <c r="O128" s="311"/>
      <c r="P128" s="311"/>
      <c r="Q128" s="311"/>
      <c r="R128" s="311"/>
      <c r="S128" s="311"/>
      <c r="T128" s="311"/>
      <c r="U128" s="311"/>
      <c r="V128" s="311"/>
      <c r="W128" s="311"/>
      <c r="X128" s="311"/>
      <c r="Y128" s="311"/>
      <c r="Z128" s="311"/>
      <c r="AA128" s="311"/>
      <c r="AB128" s="311"/>
      <c r="AC128" s="311"/>
      <c r="AD128" s="311"/>
      <c r="AE128" s="311"/>
      <c r="AF128" s="311"/>
      <c r="AG128" s="311"/>
      <c r="AH128" s="311"/>
      <c r="AI128" s="311"/>
      <c r="AJ128" s="311"/>
      <c r="AK128" s="311"/>
      <c r="AL128" s="311"/>
      <c r="AM128" s="311"/>
      <c r="AN128" s="311"/>
      <c r="AO128" s="311"/>
      <c r="AP128" s="311"/>
      <c r="AQ128" s="311"/>
      <c r="AR128" s="311"/>
      <c r="AS128" s="311"/>
      <c r="AT128" s="311"/>
      <c r="AU128" s="311"/>
      <c r="AV128" s="311"/>
      <c r="AW128" s="311"/>
      <c r="AX128" s="311"/>
      <c r="AY128" s="311"/>
      <c r="AZ128" s="311"/>
      <c r="BA128" s="311"/>
      <c r="BB128" s="311"/>
      <c r="BC128" s="311"/>
      <c r="BD128" s="311"/>
      <c r="BE128" s="311"/>
      <c r="BF128" s="311"/>
      <c r="BG128" s="311"/>
      <c r="BH128" s="311"/>
      <c r="BI128" s="311"/>
      <c r="BJ128" s="311"/>
      <c r="BK128" s="311"/>
      <c r="BL128" s="311"/>
      <c r="BM128" s="311"/>
      <c r="BN128" s="311"/>
      <c r="BO128" s="311"/>
      <c r="BP128" s="311"/>
      <c r="BQ128" s="311"/>
      <c r="BR128" s="311"/>
      <c r="BS128" s="311"/>
    </row>
    <row r="129" spans="1:71" ht="12.75" hidden="1" x14ac:dyDescent="0.2">
      <c r="A129" s="367" t="s">
        <v>585</v>
      </c>
      <c r="B129" s="374">
        <v>0.1197</v>
      </c>
      <c r="C129" s="311"/>
      <c r="D129" s="311"/>
      <c r="E129" s="311"/>
      <c r="F129" s="311"/>
      <c r="G129" s="311"/>
      <c r="H129" s="311"/>
      <c r="I129" s="311"/>
      <c r="J129" s="311"/>
      <c r="K129" s="311"/>
      <c r="L129" s="311"/>
      <c r="M129" s="311"/>
      <c r="N129" s="311"/>
      <c r="O129" s="311"/>
      <c r="P129" s="311"/>
      <c r="Q129" s="311"/>
      <c r="R129" s="311"/>
      <c r="S129" s="311"/>
      <c r="T129" s="311"/>
      <c r="U129" s="311"/>
      <c r="V129" s="311"/>
      <c r="W129" s="311"/>
      <c r="X129" s="311"/>
      <c r="Y129" s="311"/>
      <c r="Z129" s="311"/>
      <c r="AA129" s="311"/>
      <c r="AB129" s="311"/>
      <c r="AC129" s="311"/>
      <c r="AD129" s="311"/>
      <c r="AE129" s="311"/>
      <c r="AF129" s="311"/>
      <c r="AG129" s="311"/>
      <c r="AH129" s="311"/>
      <c r="AI129" s="311"/>
      <c r="AJ129" s="311"/>
      <c r="AK129" s="311"/>
      <c r="AL129" s="311"/>
      <c r="AM129" s="311"/>
      <c r="AN129" s="311"/>
      <c r="AO129" s="311"/>
      <c r="AP129" s="311"/>
      <c r="AQ129" s="311"/>
      <c r="AR129" s="311"/>
      <c r="AS129" s="311"/>
      <c r="AT129" s="311"/>
      <c r="AU129" s="311"/>
      <c r="AV129" s="311"/>
      <c r="AW129" s="311"/>
      <c r="AX129" s="311"/>
      <c r="AY129" s="311"/>
      <c r="AZ129" s="311"/>
      <c r="BA129" s="311"/>
      <c r="BB129" s="311"/>
      <c r="BC129" s="311"/>
      <c r="BD129" s="311"/>
      <c r="BE129" s="311"/>
      <c r="BF129" s="311"/>
      <c r="BG129" s="311"/>
      <c r="BH129" s="311"/>
      <c r="BI129" s="311"/>
      <c r="BJ129" s="311"/>
      <c r="BK129" s="311"/>
      <c r="BL129" s="311"/>
      <c r="BM129" s="311"/>
      <c r="BN129" s="311"/>
      <c r="BO129" s="311"/>
      <c r="BP129" s="311"/>
      <c r="BQ129" s="311"/>
      <c r="BR129" s="311"/>
      <c r="BS129" s="311"/>
    </row>
    <row r="130" spans="1:71" hidden="1" x14ac:dyDescent="0.2">
      <c r="A130" s="375"/>
      <c r="B130" s="376"/>
      <c r="C130" s="311"/>
      <c r="D130" s="311"/>
      <c r="E130" s="311"/>
      <c r="F130" s="311"/>
      <c r="G130" s="311"/>
      <c r="H130" s="311"/>
      <c r="I130" s="311"/>
      <c r="J130" s="311"/>
      <c r="K130" s="311"/>
      <c r="L130" s="311"/>
      <c r="M130" s="311"/>
      <c r="N130" s="311"/>
      <c r="O130" s="311"/>
      <c r="P130" s="311"/>
      <c r="Q130" s="311"/>
      <c r="R130" s="311"/>
      <c r="S130" s="311"/>
      <c r="T130" s="311"/>
      <c r="U130" s="311"/>
      <c r="V130" s="311"/>
      <c r="W130" s="311"/>
      <c r="X130" s="311"/>
      <c r="Y130" s="311"/>
      <c r="Z130" s="311"/>
      <c r="AA130" s="311"/>
      <c r="AB130" s="311"/>
      <c r="AC130" s="311"/>
      <c r="AD130" s="311"/>
      <c r="AE130" s="311"/>
      <c r="AF130" s="311"/>
      <c r="AG130" s="311"/>
      <c r="AH130" s="311"/>
      <c r="AI130" s="311"/>
      <c r="AJ130" s="311"/>
      <c r="AK130" s="311"/>
      <c r="AL130" s="311"/>
      <c r="AM130" s="311"/>
      <c r="AN130" s="311"/>
      <c r="AO130" s="311"/>
      <c r="AP130" s="311"/>
      <c r="AQ130" s="311"/>
      <c r="AR130" s="311"/>
      <c r="AS130" s="311"/>
      <c r="AT130" s="311"/>
      <c r="AU130" s="311"/>
      <c r="AV130" s="311"/>
      <c r="AW130" s="311"/>
      <c r="AX130" s="311"/>
      <c r="AY130" s="311"/>
      <c r="AZ130" s="311"/>
      <c r="BA130" s="311"/>
      <c r="BB130" s="311"/>
      <c r="BC130" s="311"/>
      <c r="BD130" s="311"/>
      <c r="BE130" s="311"/>
      <c r="BF130" s="311"/>
      <c r="BG130" s="311"/>
      <c r="BH130" s="311"/>
      <c r="BI130" s="311"/>
      <c r="BJ130" s="311"/>
      <c r="BK130" s="311"/>
      <c r="BL130" s="311"/>
      <c r="BM130" s="311"/>
      <c r="BN130" s="311"/>
      <c r="BO130" s="311"/>
      <c r="BP130" s="311"/>
      <c r="BQ130" s="311"/>
      <c r="BR130" s="311"/>
      <c r="BS130" s="311"/>
    </row>
    <row r="131" spans="1:71" ht="15" hidden="1" x14ac:dyDescent="0.2">
      <c r="A131" s="422"/>
      <c r="B131" s="423">
        <v>2024</v>
      </c>
      <c r="C131" s="424">
        <v>2025</v>
      </c>
      <c r="D131" s="424">
        <v>2026</v>
      </c>
      <c r="E131" s="424">
        <v>2027</v>
      </c>
      <c r="F131" s="424">
        <v>2028</v>
      </c>
      <c r="G131" s="424">
        <v>2029</v>
      </c>
      <c r="H131" s="311"/>
      <c r="I131" s="311"/>
      <c r="J131" s="311"/>
      <c r="K131" s="311"/>
      <c r="L131" s="311"/>
      <c r="M131" s="311"/>
      <c r="N131" s="311"/>
      <c r="O131" s="311"/>
      <c r="P131" s="311"/>
      <c r="Q131" s="311"/>
      <c r="R131" s="311"/>
      <c r="S131" s="311"/>
      <c r="T131" s="311"/>
      <c r="U131" s="311"/>
      <c r="V131" s="311"/>
      <c r="W131" s="311"/>
      <c r="X131" s="311"/>
      <c r="Y131" s="311"/>
      <c r="Z131" s="311"/>
      <c r="AA131" s="311"/>
      <c r="AB131" s="311"/>
      <c r="AC131" s="311"/>
      <c r="AD131" s="311"/>
      <c r="AE131" s="311"/>
      <c r="AF131" s="311"/>
      <c r="AG131" s="311"/>
      <c r="AH131" s="311"/>
      <c r="AI131" s="311"/>
      <c r="AJ131" s="311"/>
      <c r="AK131" s="311"/>
      <c r="AL131" s="311"/>
      <c r="AM131" s="311"/>
      <c r="AN131" s="311"/>
      <c r="AO131" s="311"/>
      <c r="AP131" s="311"/>
      <c r="AQ131" s="311"/>
      <c r="AR131" s="311"/>
      <c r="AS131" s="311"/>
      <c r="AT131" s="311"/>
      <c r="AU131" s="311"/>
      <c r="AV131" s="311"/>
      <c r="AW131" s="311"/>
      <c r="AX131" s="311"/>
      <c r="AY131" s="311"/>
      <c r="AZ131" s="311"/>
      <c r="BA131" s="311"/>
      <c r="BB131" s="311"/>
      <c r="BC131" s="311"/>
      <c r="BD131" s="311"/>
      <c r="BE131" s="311"/>
      <c r="BF131" s="311"/>
      <c r="BG131" s="311"/>
      <c r="BH131" s="311"/>
      <c r="BI131" s="311"/>
      <c r="BJ131" s="311"/>
      <c r="BK131" s="311"/>
      <c r="BL131" s="311"/>
      <c r="BM131" s="311"/>
      <c r="BN131" s="311"/>
      <c r="BO131" s="311"/>
      <c r="BP131" s="311"/>
      <c r="BQ131" s="311"/>
      <c r="BR131" s="311"/>
      <c r="BS131" s="311"/>
    </row>
    <row r="132" spans="1:71" ht="12.75" hidden="1" x14ac:dyDescent="0.2">
      <c r="A132" s="425" t="s">
        <v>645</v>
      </c>
      <c r="B132" s="426">
        <v>2457.5300000000002</v>
      </c>
      <c r="C132" s="426">
        <v>2671.66</v>
      </c>
      <c r="D132" s="426">
        <v>2862.69</v>
      </c>
      <c r="E132" s="426">
        <v>3055.31</v>
      </c>
      <c r="F132" s="426">
        <v>3159.99</v>
      </c>
      <c r="G132" s="426">
        <v>3286.39</v>
      </c>
      <c r="H132" s="311"/>
      <c r="I132" s="311"/>
      <c r="J132" s="311"/>
      <c r="K132" s="311"/>
      <c r="L132" s="311"/>
      <c r="M132" s="311"/>
      <c r="N132" s="311"/>
      <c r="O132" s="311"/>
      <c r="P132" s="311"/>
      <c r="Q132" s="311"/>
      <c r="R132" s="311"/>
      <c r="S132" s="311"/>
      <c r="T132" s="311"/>
      <c r="U132" s="311"/>
      <c r="V132" s="311"/>
      <c r="W132" s="311"/>
      <c r="X132" s="311"/>
      <c r="Y132" s="311"/>
      <c r="Z132" s="311"/>
      <c r="AA132" s="311"/>
      <c r="AB132" s="311"/>
      <c r="AC132" s="311"/>
      <c r="AD132" s="311"/>
      <c r="AE132" s="311"/>
      <c r="AF132" s="311"/>
      <c r="AG132" s="311"/>
      <c r="AH132" s="311"/>
      <c r="AI132" s="311"/>
      <c r="AJ132" s="311"/>
      <c r="AK132" s="311"/>
      <c r="AL132" s="311"/>
      <c r="AM132" s="311"/>
      <c r="AN132" s="311"/>
      <c r="AO132" s="311"/>
      <c r="AP132" s="311"/>
      <c r="AQ132" s="311"/>
      <c r="AR132" s="311"/>
      <c r="AS132" s="311"/>
      <c r="AT132" s="311"/>
      <c r="AU132" s="311"/>
      <c r="AV132" s="311"/>
      <c r="AW132" s="311"/>
      <c r="AX132" s="311"/>
      <c r="AY132" s="311"/>
      <c r="AZ132" s="311"/>
      <c r="BA132" s="311"/>
      <c r="BB132" s="311"/>
      <c r="BC132" s="311"/>
      <c r="BD132" s="311"/>
      <c r="BE132" s="311"/>
      <c r="BF132" s="311"/>
      <c r="BG132" s="311"/>
      <c r="BH132" s="311"/>
      <c r="BI132" s="311"/>
      <c r="BJ132" s="311"/>
      <c r="BK132" s="311"/>
      <c r="BL132" s="311"/>
      <c r="BM132" s="311"/>
      <c r="BN132" s="311"/>
      <c r="BO132" s="311"/>
      <c r="BP132" s="311"/>
      <c r="BQ132" s="311"/>
      <c r="BR132" s="311"/>
      <c r="BS132" s="311"/>
    </row>
    <row r="133" spans="1:71" ht="12.75" hidden="1" x14ac:dyDescent="0.2">
      <c r="A133" s="313"/>
      <c r="B133" s="311"/>
      <c r="C133" s="311"/>
      <c r="D133" s="311"/>
      <c r="E133" s="311"/>
      <c r="F133" s="311"/>
      <c r="G133" s="311"/>
      <c r="H133" s="311"/>
      <c r="I133" s="311"/>
      <c r="J133" s="311"/>
      <c r="K133" s="311"/>
      <c r="L133" s="311"/>
      <c r="M133" s="311"/>
      <c r="N133" s="311"/>
      <c r="O133" s="311"/>
      <c r="P133" s="311"/>
      <c r="Q133" s="311"/>
      <c r="R133" s="311"/>
      <c r="S133" s="311"/>
      <c r="T133" s="311"/>
      <c r="U133" s="311"/>
      <c r="V133" s="311"/>
      <c r="W133" s="311"/>
      <c r="X133" s="311"/>
      <c r="Y133" s="311"/>
      <c r="Z133" s="311"/>
      <c r="AA133" s="311"/>
      <c r="AB133" s="311"/>
      <c r="AC133" s="311"/>
      <c r="AD133" s="311"/>
      <c r="AE133" s="311"/>
      <c r="AF133" s="311"/>
      <c r="AG133" s="311"/>
      <c r="AH133" s="311"/>
      <c r="AI133" s="311"/>
      <c r="AJ133" s="311"/>
      <c r="AK133" s="311"/>
      <c r="AL133" s="311"/>
      <c r="AM133" s="311"/>
      <c r="AN133" s="311"/>
      <c r="AO133" s="311"/>
      <c r="AP133" s="311"/>
      <c r="AQ133" s="273"/>
      <c r="AR133" s="273"/>
      <c r="AS133" s="273"/>
      <c r="BH133" s="311"/>
      <c r="BI133" s="311"/>
      <c r="BJ133" s="311"/>
      <c r="BK133" s="311"/>
      <c r="BL133" s="311"/>
      <c r="BM133" s="311"/>
      <c r="BN133" s="311"/>
      <c r="BO133" s="311"/>
      <c r="BP133" s="311"/>
      <c r="BQ133" s="311"/>
      <c r="BR133" s="311"/>
      <c r="BS133" s="311"/>
    </row>
    <row r="134" spans="1:71" hidden="1" x14ac:dyDescent="0.2">
      <c r="A134" s="367" t="s">
        <v>586</v>
      </c>
      <c r="C134" s="318"/>
      <c r="D134" s="318"/>
      <c r="E134" s="318"/>
      <c r="F134" s="318"/>
      <c r="G134" s="318"/>
      <c r="H134" s="318"/>
      <c r="I134" s="318"/>
      <c r="J134" s="318"/>
      <c r="K134" s="318"/>
      <c r="L134" s="318"/>
      <c r="M134" s="318"/>
      <c r="N134" s="318"/>
      <c r="O134" s="318"/>
      <c r="P134" s="318"/>
      <c r="Q134" s="318"/>
      <c r="R134" s="318"/>
      <c r="S134" s="318"/>
      <c r="T134" s="318"/>
      <c r="U134" s="318"/>
      <c r="V134" s="318"/>
      <c r="W134" s="318"/>
      <c r="X134" s="318"/>
      <c r="Y134" s="318"/>
      <c r="Z134" s="318"/>
      <c r="AA134" s="318"/>
      <c r="AB134" s="318"/>
      <c r="AC134" s="318"/>
      <c r="AD134" s="318"/>
      <c r="AE134" s="318"/>
      <c r="AF134" s="318"/>
      <c r="AG134" s="318"/>
      <c r="AH134" s="318"/>
      <c r="AI134" s="318"/>
      <c r="AJ134" s="318"/>
      <c r="AK134" s="318"/>
      <c r="AL134" s="318"/>
      <c r="AM134" s="318"/>
      <c r="AN134" s="318"/>
      <c r="AO134" s="318"/>
      <c r="AP134" s="318"/>
      <c r="AQ134" s="273"/>
      <c r="AR134" s="273"/>
      <c r="AS134" s="273"/>
      <c r="BH134" s="318"/>
      <c r="BI134" s="318"/>
      <c r="BJ134" s="318"/>
      <c r="BK134" s="318"/>
      <c r="BL134" s="318"/>
      <c r="BM134" s="318"/>
      <c r="BN134" s="318"/>
      <c r="BO134" s="318"/>
      <c r="BP134" s="318"/>
      <c r="BQ134" s="318"/>
      <c r="BR134" s="318"/>
      <c r="BS134" s="318"/>
    </row>
    <row r="135" spans="1:71" ht="12.75" hidden="1" x14ac:dyDescent="0.2">
      <c r="A135" s="367"/>
      <c r="B135" s="377">
        <v>2023</v>
      </c>
      <c r="C135" s="377">
        <f>B135+1</f>
        <v>2024</v>
      </c>
      <c r="D135" s="377">
        <f t="shared" ref="D135:AY135" si="40">C135+1</f>
        <v>2025</v>
      </c>
      <c r="E135" s="377">
        <f t="shared" si="40"/>
        <v>2026</v>
      </c>
      <c r="F135" s="377">
        <f t="shared" si="40"/>
        <v>2027</v>
      </c>
      <c r="G135" s="377">
        <f t="shared" si="40"/>
        <v>2028</v>
      </c>
      <c r="H135" s="377">
        <f t="shared" si="40"/>
        <v>2029</v>
      </c>
      <c r="I135" s="377">
        <f t="shared" si="40"/>
        <v>2030</v>
      </c>
      <c r="J135" s="377">
        <f t="shared" si="40"/>
        <v>2031</v>
      </c>
      <c r="K135" s="377">
        <f t="shared" si="40"/>
        <v>2032</v>
      </c>
      <c r="L135" s="377">
        <f t="shared" si="40"/>
        <v>2033</v>
      </c>
      <c r="M135" s="377">
        <f t="shared" si="40"/>
        <v>2034</v>
      </c>
      <c r="N135" s="377">
        <f t="shared" si="40"/>
        <v>2035</v>
      </c>
      <c r="O135" s="377">
        <f t="shared" si="40"/>
        <v>2036</v>
      </c>
      <c r="P135" s="377">
        <f t="shared" si="40"/>
        <v>2037</v>
      </c>
      <c r="Q135" s="377">
        <f t="shared" si="40"/>
        <v>2038</v>
      </c>
      <c r="R135" s="377">
        <f t="shared" si="40"/>
        <v>2039</v>
      </c>
      <c r="S135" s="377">
        <f t="shared" si="40"/>
        <v>2040</v>
      </c>
      <c r="T135" s="377">
        <f t="shared" si="40"/>
        <v>2041</v>
      </c>
      <c r="U135" s="377">
        <f t="shared" si="40"/>
        <v>2042</v>
      </c>
      <c r="V135" s="377">
        <f t="shared" si="40"/>
        <v>2043</v>
      </c>
      <c r="W135" s="377">
        <f t="shared" si="40"/>
        <v>2044</v>
      </c>
      <c r="X135" s="377">
        <f t="shared" si="40"/>
        <v>2045</v>
      </c>
      <c r="Y135" s="377">
        <f t="shared" si="40"/>
        <v>2046</v>
      </c>
      <c r="Z135" s="377">
        <f t="shared" si="40"/>
        <v>2047</v>
      </c>
      <c r="AA135" s="377">
        <f t="shared" si="40"/>
        <v>2048</v>
      </c>
      <c r="AB135" s="377">
        <f t="shared" si="40"/>
        <v>2049</v>
      </c>
      <c r="AC135" s="377">
        <f t="shared" si="40"/>
        <v>2050</v>
      </c>
      <c r="AD135" s="377">
        <f t="shared" si="40"/>
        <v>2051</v>
      </c>
      <c r="AE135" s="377">
        <f t="shared" si="40"/>
        <v>2052</v>
      </c>
      <c r="AF135" s="377">
        <f t="shared" si="40"/>
        <v>2053</v>
      </c>
      <c r="AG135" s="377">
        <f t="shared" si="40"/>
        <v>2054</v>
      </c>
      <c r="AH135" s="377">
        <f t="shared" si="40"/>
        <v>2055</v>
      </c>
      <c r="AI135" s="377">
        <f t="shared" si="40"/>
        <v>2056</v>
      </c>
      <c r="AJ135" s="377">
        <f t="shared" si="40"/>
        <v>2057</v>
      </c>
      <c r="AK135" s="377">
        <f t="shared" si="40"/>
        <v>2058</v>
      </c>
      <c r="AL135" s="377">
        <f t="shared" si="40"/>
        <v>2059</v>
      </c>
      <c r="AM135" s="377">
        <f t="shared" si="40"/>
        <v>2060</v>
      </c>
      <c r="AN135" s="377">
        <f t="shared" si="40"/>
        <v>2061</v>
      </c>
      <c r="AO135" s="377">
        <f t="shared" si="40"/>
        <v>2062</v>
      </c>
      <c r="AP135" s="377">
        <f t="shared" si="40"/>
        <v>2063</v>
      </c>
      <c r="AQ135" s="377">
        <f t="shared" si="40"/>
        <v>2064</v>
      </c>
      <c r="AR135" s="377">
        <f t="shared" si="40"/>
        <v>2065</v>
      </c>
      <c r="AS135" s="377">
        <f t="shared" si="40"/>
        <v>2066</v>
      </c>
      <c r="AT135" s="377">
        <f t="shared" si="40"/>
        <v>2067</v>
      </c>
      <c r="AU135" s="377">
        <f t="shared" si="40"/>
        <v>2068</v>
      </c>
      <c r="AV135" s="377">
        <f t="shared" si="40"/>
        <v>2069</v>
      </c>
      <c r="AW135" s="377">
        <f t="shared" si="40"/>
        <v>2070</v>
      </c>
      <c r="AX135" s="377">
        <f t="shared" si="40"/>
        <v>2071</v>
      </c>
      <c r="AY135" s="377">
        <f t="shared" si="40"/>
        <v>2072</v>
      </c>
    </row>
    <row r="136" spans="1:71" ht="12.75" hidden="1" x14ac:dyDescent="0.2">
      <c r="A136" s="367" t="s">
        <v>587</v>
      </c>
      <c r="B136" s="421">
        <v>9.0964662608273128E-2</v>
      </c>
      <c r="C136" s="421">
        <v>9.1135032622053413E-2</v>
      </c>
      <c r="D136" s="421">
        <v>7.8163170639641913E-2</v>
      </c>
      <c r="E136" s="421">
        <v>5.2628968689616612E-2</v>
      </c>
      <c r="F136" s="421">
        <v>4.4208979893394937E-2</v>
      </c>
      <c r="G136" s="421">
        <f>F136</f>
        <v>4.4208979893394937E-2</v>
      </c>
      <c r="H136" s="421">
        <f t="shared" ref="H136:AY136" si="41">G136</f>
        <v>4.4208979893394937E-2</v>
      </c>
      <c r="I136" s="421">
        <f t="shared" si="41"/>
        <v>4.4208979893394937E-2</v>
      </c>
      <c r="J136" s="421">
        <f t="shared" si="41"/>
        <v>4.4208979893394937E-2</v>
      </c>
      <c r="K136" s="421">
        <f t="shared" si="41"/>
        <v>4.4208979893394937E-2</v>
      </c>
      <c r="L136" s="421">
        <f t="shared" si="41"/>
        <v>4.4208979893394937E-2</v>
      </c>
      <c r="M136" s="421">
        <f t="shared" si="41"/>
        <v>4.4208979893394937E-2</v>
      </c>
      <c r="N136" s="421">
        <f t="shared" si="41"/>
        <v>4.4208979893394937E-2</v>
      </c>
      <c r="O136" s="421">
        <f t="shared" si="41"/>
        <v>4.4208979893394937E-2</v>
      </c>
      <c r="P136" s="421">
        <f t="shared" si="41"/>
        <v>4.4208979893394937E-2</v>
      </c>
      <c r="Q136" s="421">
        <f t="shared" si="41"/>
        <v>4.4208979893394937E-2</v>
      </c>
      <c r="R136" s="421">
        <f t="shared" si="41"/>
        <v>4.4208979893394937E-2</v>
      </c>
      <c r="S136" s="421">
        <f t="shared" si="41"/>
        <v>4.4208979893394937E-2</v>
      </c>
      <c r="T136" s="421">
        <f t="shared" si="41"/>
        <v>4.4208979893394937E-2</v>
      </c>
      <c r="U136" s="421">
        <f t="shared" si="41"/>
        <v>4.4208979893394937E-2</v>
      </c>
      <c r="V136" s="421">
        <f t="shared" si="41"/>
        <v>4.4208979893394937E-2</v>
      </c>
      <c r="W136" s="421">
        <f t="shared" si="41"/>
        <v>4.4208979893394937E-2</v>
      </c>
      <c r="X136" s="421">
        <f t="shared" si="41"/>
        <v>4.4208979893394937E-2</v>
      </c>
      <c r="Y136" s="421">
        <f t="shared" si="41"/>
        <v>4.4208979893394937E-2</v>
      </c>
      <c r="Z136" s="421">
        <f t="shared" si="41"/>
        <v>4.4208979893394937E-2</v>
      </c>
      <c r="AA136" s="421">
        <f t="shared" si="41"/>
        <v>4.4208979893394937E-2</v>
      </c>
      <c r="AB136" s="421">
        <f t="shared" si="41"/>
        <v>4.4208979893394937E-2</v>
      </c>
      <c r="AC136" s="421">
        <f t="shared" si="41"/>
        <v>4.4208979893394937E-2</v>
      </c>
      <c r="AD136" s="421">
        <f t="shared" si="41"/>
        <v>4.4208979893394937E-2</v>
      </c>
      <c r="AE136" s="421">
        <f t="shared" si="41"/>
        <v>4.4208979893394937E-2</v>
      </c>
      <c r="AF136" s="421">
        <f t="shared" si="41"/>
        <v>4.4208979893394937E-2</v>
      </c>
      <c r="AG136" s="421">
        <f t="shared" si="41"/>
        <v>4.4208979893394937E-2</v>
      </c>
      <c r="AH136" s="421">
        <f t="shared" si="41"/>
        <v>4.4208979893394937E-2</v>
      </c>
      <c r="AI136" s="421">
        <f t="shared" si="41"/>
        <v>4.4208979893394937E-2</v>
      </c>
      <c r="AJ136" s="421">
        <f t="shared" si="41"/>
        <v>4.4208979893394937E-2</v>
      </c>
      <c r="AK136" s="421">
        <f t="shared" si="41"/>
        <v>4.4208979893394937E-2</v>
      </c>
      <c r="AL136" s="421">
        <f t="shared" si="41"/>
        <v>4.4208979893394937E-2</v>
      </c>
      <c r="AM136" s="421">
        <f t="shared" si="41"/>
        <v>4.4208979893394937E-2</v>
      </c>
      <c r="AN136" s="421">
        <f t="shared" si="41"/>
        <v>4.4208979893394937E-2</v>
      </c>
      <c r="AO136" s="421">
        <f t="shared" si="41"/>
        <v>4.4208979893394937E-2</v>
      </c>
      <c r="AP136" s="421">
        <f t="shared" si="41"/>
        <v>4.4208979893394937E-2</v>
      </c>
      <c r="AQ136" s="421">
        <f t="shared" si="41"/>
        <v>4.4208979893394937E-2</v>
      </c>
      <c r="AR136" s="421">
        <f t="shared" si="41"/>
        <v>4.4208979893394937E-2</v>
      </c>
      <c r="AS136" s="421">
        <f t="shared" si="41"/>
        <v>4.4208979893394937E-2</v>
      </c>
      <c r="AT136" s="421">
        <f t="shared" si="41"/>
        <v>4.4208979893394937E-2</v>
      </c>
      <c r="AU136" s="421">
        <f t="shared" si="41"/>
        <v>4.4208979893394937E-2</v>
      </c>
      <c r="AV136" s="421">
        <f t="shared" si="41"/>
        <v>4.4208979893394937E-2</v>
      </c>
      <c r="AW136" s="421">
        <f t="shared" si="41"/>
        <v>4.4208979893394937E-2</v>
      </c>
      <c r="AX136" s="421">
        <f t="shared" si="41"/>
        <v>4.4208979893394937E-2</v>
      </c>
      <c r="AY136" s="421">
        <f t="shared" si="41"/>
        <v>4.4208979893394937E-2</v>
      </c>
    </row>
    <row r="137" spans="1:71" s="273" customFormat="1" ht="15" hidden="1" x14ac:dyDescent="0.2">
      <c r="A137" s="367" t="s">
        <v>588</v>
      </c>
      <c r="B137" s="421">
        <f>B136</f>
        <v>9.0964662608273128E-2</v>
      </c>
      <c r="C137" s="379">
        <f>(1+B137)*(1+C136)-1</f>
        <v>0.19038976272458563</v>
      </c>
      <c r="D137" s="379">
        <f>(1+C137)*(1+D136)-1</f>
        <v>0.28343440087611027</v>
      </c>
      <c r="E137" s="379">
        <f>(1+D137)*(1+E136)-1</f>
        <v>0.35098022977499599</v>
      </c>
      <c r="F137" s="379">
        <f t="shared" ref="F137:AY137" si="42">(1+E137)*(1+F136)-1</f>
        <v>0.41070568758949277</v>
      </c>
      <c r="G137" s="379">
        <f>(1+F137)*(1+G136)-1</f>
        <v>0.47307154696763454</v>
      </c>
      <c r="H137" s="379">
        <f t="shared" si="42"/>
        <v>0.53819453736905887</v>
      </c>
      <c r="I137" s="379">
        <f t="shared" si="42"/>
        <v>0.60619654874373752</v>
      </c>
      <c r="J137" s="379">
        <f t="shared" si="42"/>
        <v>0.67720485967198973</v>
      </c>
      <c r="K137" s="379">
        <f t="shared" si="42"/>
        <v>0.75135237559033285</v>
      </c>
      <c r="L137" s="379">
        <f t="shared" si="42"/>
        <v>0.8287778775490553</v>
      </c>
      <c r="M137" s="379">
        <f t="shared" si="42"/>
        <v>0.90962628196710682</v>
      </c>
      <c r="N137" s="379">
        <f t="shared" si="42"/>
        <v>0.99404891187048916</v>
      </c>
      <c r="O137" s="379">
        <f t="shared" si="42"/>
        <v>1.0822037801218176</v>
      </c>
      <c r="P137" s="379">
        <f t="shared" si="42"/>
        <v>1.1742558851711737</v>
      </c>
      <c r="Q137" s="379">
        <f t="shared" si="42"/>
        <v>1.2703775198818015</v>
      </c>
      <c r="R137" s="379">
        <f t="shared" si="42"/>
        <v>1.3707485940086719</v>
      </c>
      <c r="S137" s="379">
        <f t="shared" si="42"/>
        <v>1.4755569709334955</v>
      </c>
      <c r="T137" s="379">
        <f t="shared" si="42"/>
        <v>1.5849988192864481</v>
      </c>
      <c r="U137" s="379">
        <f t="shared" si="42"/>
        <v>1.6992789801127324</v>
      </c>
      <c r="V137" s="379">
        <f t="shared" si="42"/>
        <v>1.8186113502711998</v>
      </c>
      <c r="W137" s="379">
        <f t="shared" si="42"/>
        <v>1.9432192827826338</v>
      </c>
      <c r="X137" s="379">
        <f t="shared" si="42"/>
        <v>2.0733360048770235</v>
      </c>
      <c r="Y137" s="379">
        <f t="shared" si="42"/>
        <v>2.2092050545222786</v>
      </c>
      <c r="Z137" s="379">
        <f t="shared" si="42"/>
        <v>2.3510807362514354</v>
      </c>
      <c r="AA137" s="379">
        <f t="shared" si="42"/>
        <v>2.499228597141518</v>
      </c>
      <c r="AB137" s="379">
        <f t="shared" si="42"/>
        <v>2.6539259238349397</v>
      </c>
      <c r="AC137" s="379">
        <f t="shared" si="42"/>
        <v>2.815462261533713</v>
      </c>
      <c r="AD137" s="379">
        <f t="shared" si="42"/>
        <v>2.9841399559378639</v>
      </c>
      <c r="AE137" s="379">
        <f t="shared" si="42"/>
        <v>3.1602747191423921</v>
      </c>
      <c r="AF137" s="379">
        <f t="shared" si="42"/>
        <v>3.3441962205519573</v>
      </c>
      <c r="AG137" s="379">
        <f t="shared" si="42"/>
        <v>3.5362487039193011</v>
      </c>
      <c r="AH137" s="379">
        <f t="shared" si="42"/>
        <v>3.7367916316623084</v>
      </c>
      <c r="AI137" s="379">
        <f t="shared" si="42"/>
        <v>3.9462003576656688</v>
      </c>
      <c r="AJ137" s="379">
        <f t="shared" si="42"/>
        <v>4.1648668298264129</v>
      </c>
      <c r="AK137" s="379">
        <f t="shared" si="42"/>
        <v>4.3932003236582711</v>
      </c>
      <c r="AL137" s="379">
        <f t="shared" si="42"/>
        <v>4.6316282083279301</v>
      </c>
      <c r="AM137" s="379">
        <f t="shared" si="42"/>
        <v>4.8805967465569751</v>
      </c>
      <c r="AN137" s="379">
        <f t="shared" si="42"/>
        <v>5.1405719298866757</v>
      </c>
      <c r="AO137" s="379">
        <f t="shared" si="42"/>
        <v>5.4120403508689812</v>
      </c>
      <c r="AP137" s="379">
        <f t="shared" si="42"/>
        <v>5.6955101138161845</v>
      </c>
      <c r="AQ137" s="379">
        <f t="shared" si="42"/>
        <v>5.9915117858139064</v>
      </c>
      <c r="AR137" s="379">
        <f t="shared" si="42"/>
        <v>6.3005993897773864</v>
      </c>
      <c r="AS137" s="379">
        <f t="shared" si="42"/>
        <v>6.6233514414097856</v>
      </c>
      <c r="AT137" s="379">
        <f t="shared" si="42"/>
        <v>6.9603720320033542</v>
      </c>
      <c r="AU137" s="379">
        <f t="shared" si="42"/>
        <v>7.3122919591101336</v>
      </c>
      <c r="AV137" s="379">
        <f t="shared" si="42"/>
        <v>7.6797699071984624</v>
      </c>
      <c r="AW137" s="379">
        <f>(1+AV137)*(1+AW136)-1</f>
        <v>8.0634936805050934</v>
      </c>
      <c r="AX137" s="379">
        <f t="shared" si="42"/>
        <v>8.4641814903904553</v>
      </c>
      <c r="AY137" s="379">
        <f t="shared" si="42"/>
        <v>8.8825832996065675</v>
      </c>
    </row>
    <row r="138" spans="1:71" s="273" customFormat="1" hidden="1" x14ac:dyDescent="0.2">
      <c r="A138" s="319"/>
      <c r="B138" s="380"/>
      <c r="C138" s="381"/>
      <c r="D138" s="381"/>
      <c r="E138" s="381"/>
      <c r="F138" s="381"/>
      <c r="G138" s="381"/>
      <c r="H138" s="381"/>
      <c r="I138" s="381"/>
      <c r="J138" s="381"/>
      <c r="K138" s="381"/>
      <c r="L138" s="381"/>
      <c r="M138" s="381"/>
      <c r="N138" s="381"/>
      <c r="O138" s="381"/>
      <c r="P138" s="381"/>
      <c r="Q138" s="381"/>
      <c r="R138" s="381"/>
      <c r="S138" s="381"/>
      <c r="T138" s="381"/>
      <c r="U138" s="381"/>
      <c r="V138" s="381"/>
      <c r="W138" s="381"/>
      <c r="X138" s="381"/>
      <c r="Y138" s="381"/>
      <c r="Z138" s="381"/>
      <c r="AA138" s="381"/>
      <c r="AB138" s="381"/>
      <c r="AC138" s="381"/>
      <c r="AD138" s="381"/>
      <c r="AE138" s="381"/>
      <c r="AF138" s="381"/>
      <c r="AG138" s="381"/>
      <c r="AH138" s="381"/>
      <c r="AI138" s="381"/>
      <c r="AJ138" s="381"/>
      <c r="AK138" s="381"/>
      <c r="AL138" s="381"/>
      <c r="AM138" s="381"/>
      <c r="AN138" s="381"/>
      <c r="AO138" s="381"/>
      <c r="AP138" s="381"/>
      <c r="AQ138" s="231"/>
    </row>
    <row r="139" spans="1:71" ht="12.75" hidden="1" x14ac:dyDescent="0.2">
      <c r="A139" s="313"/>
      <c r="B139" s="378">
        <f>B135</f>
        <v>2023</v>
      </c>
      <c r="C139" s="378">
        <f>B139+1</f>
        <v>2024</v>
      </c>
      <c r="D139" s="378">
        <f t="shared" ref="D139:S140" si="43">C139+1</f>
        <v>2025</v>
      </c>
      <c r="E139" s="378">
        <f t="shared" si="43"/>
        <v>2026</v>
      </c>
      <c r="F139" s="378">
        <f t="shared" si="43"/>
        <v>2027</v>
      </c>
      <c r="G139" s="378">
        <f t="shared" si="43"/>
        <v>2028</v>
      </c>
      <c r="H139" s="378">
        <f t="shared" si="43"/>
        <v>2029</v>
      </c>
      <c r="I139" s="378">
        <f t="shared" si="43"/>
        <v>2030</v>
      </c>
      <c r="J139" s="378">
        <f t="shared" si="43"/>
        <v>2031</v>
      </c>
      <c r="K139" s="378">
        <f t="shared" si="43"/>
        <v>2032</v>
      </c>
      <c r="L139" s="378">
        <f t="shared" si="43"/>
        <v>2033</v>
      </c>
      <c r="M139" s="378">
        <f t="shared" si="43"/>
        <v>2034</v>
      </c>
      <c r="N139" s="378">
        <f t="shared" si="43"/>
        <v>2035</v>
      </c>
      <c r="O139" s="378">
        <f t="shared" si="43"/>
        <v>2036</v>
      </c>
      <c r="P139" s="378">
        <f t="shared" si="43"/>
        <v>2037</v>
      </c>
      <c r="Q139" s="378">
        <f t="shared" si="43"/>
        <v>2038</v>
      </c>
      <c r="R139" s="378">
        <f t="shared" si="43"/>
        <v>2039</v>
      </c>
      <c r="S139" s="378">
        <f t="shared" si="43"/>
        <v>2040</v>
      </c>
      <c r="T139" s="378">
        <f t="shared" ref="T139:AI140" si="44">S139+1</f>
        <v>2041</v>
      </c>
      <c r="U139" s="378">
        <f t="shared" si="44"/>
        <v>2042</v>
      </c>
      <c r="V139" s="378">
        <f t="shared" si="44"/>
        <v>2043</v>
      </c>
      <c r="W139" s="378">
        <f t="shared" si="44"/>
        <v>2044</v>
      </c>
      <c r="X139" s="378">
        <f t="shared" si="44"/>
        <v>2045</v>
      </c>
      <c r="Y139" s="378">
        <f t="shared" si="44"/>
        <v>2046</v>
      </c>
      <c r="Z139" s="378">
        <f t="shared" si="44"/>
        <v>2047</v>
      </c>
      <c r="AA139" s="378">
        <f t="shared" si="44"/>
        <v>2048</v>
      </c>
      <c r="AB139" s="378">
        <f t="shared" si="44"/>
        <v>2049</v>
      </c>
      <c r="AC139" s="378">
        <f t="shared" si="44"/>
        <v>2050</v>
      </c>
      <c r="AD139" s="378">
        <f t="shared" si="44"/>
        <v>2051</v>
      </c>
      <c r="AE139" s="378">
        <f t="shared" si="44"/>
        <v>2052</v>
      </c>
      <c r="AF139" s="378">
        <f t="shared" si="44"/>
        <v>2053</v>
      </c>
      <c r="AG139" s="378">
        <f t="shared" si="44"/>
        <v>2054</v>
      </c>
      <c r="AH139" s="378">
        <f t="shared" si="44"/>
        <v>2055</v>
      </c>
      <c r="AI139" s="378">
        <f t="shared" si="44"/>
        <v>2056</v>
      </c>
      <c r="AJ139" s="378">
        <f t="shared" ref="AJ139:AY140" si="45">AI139+1</f>
        <v>2057</v>
      </c>
      <c r="AK139" s="378">
        <f t="shared" si="45"/>
        <v>2058</v>
      </c>
      <c r="AL139" s="378">
        <f t="shared" si="45"/>
        <v>2059</v>
      </c>
      <c r="AM139" s="378">
        <f t="shared" si="45"/>
        <v>2060</v>
      </c>
      <c r="AN139" s="378">
        <f t="shared" si="45"/>
        <v>2061</v>
      </c>
      <c r="AO139" s="378">
        <f t="shared" si="45"/>
        <v>2062</v>
      </c>
      <c r="AP139" s="378">
        <f t="shared" si="45"/>
        <v>2063</v>
      </c>
      <c r="AQ139" s="378">
        <f t="shared" si="45"/>
        <v>2064</v>
      </c>
      <c r="AR139" s="378">
        <f t="shared" si="45"/>
        <v>2065</v>
      </c>
      <c r="AS139" s="378">
        <f t="shared" si="45"/>
        <v>2066</v>
      </c>
      <c r="AT139" s="378">
        <f t="shared" si="45"/>
        <v>2067</v>
      </c>
      <c r="AU139" s="378">
        <f t="shared" si="45"/>
        <v>2068</v>
      </c>
      <c r="AV139" s="378">
        <f t="shared" si="45"/>
        <v>2069</v>
      </c>
      <c r="AW139" s="378">
        <f t="shared" si="45"/>
        <v>2070</v>
      </c>
      <c r="AX139" s="378">
        <f t="shared" si="45"/>
        <v>2071</v>
      </c>
      <c r="AY139" s="378">
        <f t="shared" si="45"/>
        <v>2072</v>
      </c>
      <c r="AZ139" s="311"/>
      <c r="BA139" s="311"/>
      <c r="BB139" s="311"/>
      <c r="BC139" s="311"/>
      <c r="BD139" s="311"/>
      <c r="BE139" s="311"/>
      <c r="BF139" s="311"/>
      <c r="BG139" s="311"/>
      <c r="BH139" s="311"/>
      <c r="BI139" s="311"/>
      <c r="BJ139" s="311"/>
      <c r="BK139" s="311"/>
      <c r="BL139" s="311"/>
      <c r="BM139" s="311"/>
      <c r="BN139" s="311"/>
      <c r="BO139" s="311"/>
      <c r="BP139" s="311"/>
      <c r="BQ139" s="311"/>
      <c r="BR139" s="311"/>
      <c r="BS139" s="311"/>
    </row>
    <row r="140" spans="1:71" hidden="1" x14ac:dyDescent="0.2">
      <c r="A140" s="313">
        <v>0</v>
      </c>
      <c r="B140" s="382">
        <v>1</v>
      </c>
      <c r="C140" s="382">
        <f t="shared" ref="C140" si="46">B140+1</f>
        <v>2</v>
      </c>
      <c r="D140" s="382">
        <f t="shared" si="43"/>
        <v>3</v>
      </c>
      <c r="E140" s="382">
        <f>D140+1</f>
        <v>4</v>
      </c>
      <c r="F140" s="382">
        <f t="shared" si="43"/>
        <v>5</v>
      </c>
      <c r="G140" s="382">
        <f t="shared" si="43"/>
        <v>6</v>
      </c>
      <c r="H140" s="382">
        <f t="shared" si="43"/>
        <v>7</v>
      </c>
      <c r="I140" s="382">
        <f t="shared" si="43"/>
        <v>8</v>
      </c>
      <c r="J140" s="382">
        <f t="shared" si="43"/>
        <v>9</v>
      </c>
      <c r="K140" s="382">
        <f t="shared" si="43"/>
        <v>10</v>
      </c>
      <c r="L140" s="382">
        <f t="shared" si="43"/>
        <v>11</v>
      </c>
      <c r="M140" s="382">
        <f t="shared" si="43"/>
        <v>12</v>
      </c>
      <c r="N140" s="382">
        <f t="shared" si="43"/>
        <v>13</v>
      </c>
      <c r="O140" s="382">
        <f t="shared" si="43"/>
        <v>14</v>
      </c>
      <c r="P140" s="382">
        <f t="shared" si="43"/>
        <v>15</v>
      </c>
      <c r="Q140" s="382">
        <f t="shared" si="43"/>
        <v>16</v>
      </c>
      <c r="R140" s="382">
        <f t="shared" si="43"/>
        <v>17</v>
      </c>
      <c r="S140" s="382">
        <f t="shared" si="43"/>
        <v>18</v>
      </c>
      <c r="T140" s="382">
        <f t="shared" si="44"/>
        <v>19</v>
      </c>
      <c r="U140" s="382">
        <f t="shared" si="44"/>
        <v>20</v>
      </c>
      <c r="V140" s="382">
        <f t="shared" si="44"/>
        <v>21</v>
      </c>
      <c r="W140" s="382">
        <f t="shared" si="44"/>
        <v>22</v>
      </c>
      <c r="X140" s="382">
        <f t="shared" si="44"/>
        <v>23</v>
      </c>
      <c r="Y140" s="382">
        <f t="shared" si="44"/>
        <v>24</v>
      </c>
      <c r="Z140" s="382">
        <f t="shared" si="44"/>
        <v>25</v>
      </c>
      <c r="AA140" s="382">
        <f t="shared" si="44"/>
        <v>26</v>
      </c>
      <c r="AB140" s="382">
        <f t="shared" si="44"/>
        <v>27</v>
      </c>
      <c r="AC140" s="382">
        <f t="shared" si="44"/>
        <v>28</v>
      </c>
      <c r="AD140" s="382">
        <f t="shared" si="44"/>
        <v>29</v>
      </c>
      <c r="AE140" s="382">
        <f t="shared" si="44"/>
        <v>30</v>
      </c>
      <c r="AF140" s="382">
        <f t="shared" si="44"/>
        <v>31</v>
      </c>
      <c r="AG140" s="382">
        <f t="shared" si="44"/>
        <v>32</v>
      </c>
      <c r="AH140" s="382">
        <f t="shared" si="44"/>
        <v>33</v>
      </c>
      <c r="AI140" s="382">
        <f t="shared" si="44"/>
        <v>34</v>
      </c>
      <c r="AJ140" s="382">
        <f t="shared" si="45"/>
        <v>35</v>
      </c>
      <c r="AK140" s="382">
        <f t="shared" si="45"/>
        <v>36</v>
      </c>
      <c r="AL140" s="382">
        <f t="shared" si="45"/>
        <v>37</v>
      </c>
      <c r="AM140" s="382">
        <f t="shared" si="45"/>
        <v>38</v>
      </c>
      <c r="AN140" s="382">
        <f t="shared" si="45"/>
        <v>39</v>
      </c>
      <c r="AO140" s="382">
        <f t="shared" si="45"/>
        <v>40</v>
      </c>
      <c r="AP140" s="382">
        <f>AO140+1</f>
        <v>41</v>
      </c>
      <c r="AQ140" s="382">
        <f t="shared" si="45"/>
        <v>42</v>
      </c>
      <c r="AR140" s="382">
        <f t="shared" si="45"/>
        <v>43</v>
      </c>
      <c r="AS140" s="382">
        <f t="shared" si="45"/>
        <v>44</v>
      </c>
      <c r="AT140" s="382">
        <f t="shared" si="45"/>
        <v>45</v>
      </c>
      <c r="AU140" s="382">
        <f t="shared" si="45"/>
        <v>46</v>
      </c>
      <c r="AV140" s="382">
        <f t="shared" si="45"/>
        <v>47</v>
      </c>
      <c r="AW140" s="382">
        <f t="shared" si="45"/>
        <v>48</v>
      </c>
      <c r="AX140" s="382">
        <f t="shared" si="45"/>
        <v>49</v>
      </c>
      <c r="AY140" s="382">
        <f t="shared" si="45"/>
        <v>50</v>
      </c>
      <c r="AZ140" s="311"/>
      <c r="BA140" s="311"/>
      <c r="BB140" s="311"/>
      <c r="BC140" s="311"/>
      <c r="BD140" s="311"/>
      <c r="BE140" s="311"/>
      <c r="BF140" s="311"/>
      <c r="BG140" s="311"/>
      <c r="BH140" s="311"/>
      <c r="BI140" s="311"/>
      <c r="BJ140" s="311"/>
      <c r="BK140" s="311"/>
      <c r="BL140" s="311"/>
      <c r="BM140" s="311"/>
      <c r="BN140" s="311"/>
      <c r="BO140" s="311"/>
      <c r="BP140" s="311"/>
      <c r="BQ140" s="311"/>
      <c r="BR140" s="311"/>
      <c r="BS140" s="311"/>
    </row>
    <row r="141" spans="1:71" ht="15" hidden="1" x14ac:dyDescent="0.2">
      <c r="A141" s="313"/>
      <c r="B141" s="383">
        <f>AVERAGE(A140:B140)</f>
        <v>0.5</v>
      </c>
      <c r="C141" s="383">
        <f>AVERAGE(B140:C140)</f>
        <v>1.5</v>
      </c>
      <c r="D141" s="383">
        <f>AVERAGE(C140:D140)</f>
        <v>2.5</v>
      </c>
      <c r="E141" s="383">
        <f>AVERAGE(D140:E140)</f>
        <v>3.5</v>
      </c>
      <c r="F141" s="383">
        <f t="shared" ref="F141:AO141" si="47">AVERAGE(E140:F140)</f>
        <v>4.5</v>
      </c>
      <c r="G141" s="383">
        <f t="shared" si="47"/>
        <v>5.5</v>
      </c>
      <c r="H141" s="383">
        <f t="shared" si="47"/>
        <v>6.5</v>
      </c>
      <c r="I141" s="383">
        <f t="shared" si="47"/>
        <v>7.5</v>
      </c>
      <c r="J141" s="383">
        <f t="shared" si="47"/>
        <v>8.5</v>
      </c>
      <c r="K141" s="383">
        <f t="shared" si="47"/>
        <v>9.5</v>
      </c>
      <c r="L141" s="383">
        <f t="shared" si="47"/>
        <v>10.5</v>
      </c>
      <c r="M141" s="383">
        <f t="shared" si="47"/>
        <v>11.5</v>
      </c>
      <c r="N141" s="383">
        <f t="shared" si="47"/>
        <v>12.5</v>
      </c>
      <c r="O141" s="383">
        <f t="shared" si="47"/>
        <v>13.5</v>
      </c>
      <c r="P141" s="383">
        <f t="shared" si="47"/>
        <v>14.5</v>
      </c>
      <c r="Q141" s="383">
        <f t="shared" si="47"/>
        <v>15.5</v>
      </c>
      <c r="R141" s="383">
        <f t="shared" si="47"/>
        <v>16.5</v>
      </c>
      <c r="S141" s="383">
        <f t="shared" si="47"/>
        <v>17.5</v>
      </c>
      <c r="T141" s="383">
        <f t="shared" si="47"/>
        <v>18.5</v>
      </c>
      <c r="U141" s="383">
        <f t="shared" si="47"/>
        <v>19.5</v>
      </c>
      <c r="V141" s="383">
        <f t="shared" si="47"/>
        <v>20.5</v>
      </c>
      <c r="W141" s="383">
        <f t="shared" si="47"/>
        <v>21.5</v>
      </c>
      <c r="X141" s="383">
        <f t="shared" si="47"/>
        <v>22.5</v>
      </c>
      <c r="Y141" s="383">
        <f t="shared" si="47"/>
        <v>23.5</v>
      </c>
      <c r="Z141" s="383">
        <f t="shared" si="47"/>
        <v>24.5</v>
      </c>
      <c r="AA141" s="383">
        <f t="shared" si="47"/>
        <v>25.5</v>
      </c>
      <c r="AB141" s="383">
        <f t="shared" si="47"/>
        <v>26.5</v>
      </c>
      <c r="AC141" s="383">
        <f t="shared" si="47"/>
        <v>27.5</v>
      </c>
      <c r="AD141" s="383">
        <f t="shared" si="47"/>
        <v>28.5</v>
      </c>
      <c r="AE141" s="383">
        <f t="shared" si="47"/>
        <v>29.5</v>
      </c>
      <c r="AF141" s="383">
        <f t="shared" si="47"/>
        <v>30.5</v>
      </c>
      <c r="AG141" s="383">
        <f t="shared" si="47"/>
        <v>31.5</v>
      </c>
      <c r="AH141" s="383">
        <f t="shared" si="47"/>
        <v>32.5</v>
      </c>
      <c r="AI141" s="383">
        <f t="shared" si="47"/>
        <v>33.5</v>
      </c>
      <c r="AJ141" s="383">
        <f t="shared" si="47"/>
        <v>34.5</v>
      </c>
      <c r="AK141" s="383">
        <f t="shared" si="47"/>
        <v>35.5</v>
      </c>
      <c r="AL141" s="383">
        <f t="shared" si="47"/>
        <v>36.5</v>
      </c>
      <c r="AM141" s="383">
        <f t="shared" si="47"/>
        <v>37.5</v>
      </c>
      <c r="AN141" s="383">
        <f t="shared" si="47"/>
        <v>38.5</v>
      </c>
      <c r="AO141" s="383">
        <f t="shared" si="47"/>
        <v>39.5</v>
      </c>
      <c r="AP141" s="383">
        <f>AVERAGE(AO140:AP140)</f>
        <v>40.5</v>
      </c>
      <c r="AQ141" s="383">
        <f t="shared" ref="AQ141:AY141" si="48">AVERAGE(AP140:AQ140)</f>
        <v>41.5</v>
      </c>
      <c r="AR141" s="383">
        <f t="shared" si="48"/>
        <v>42.5</v>
      </c>
      <c r="AS141" s="383">
        <f t="shared" si="48"/>
        <v>43.5</v>
      </c>
      <c r="AT141" s="383">
        <f t="shared" si="48"/>
        <v>44.5</v>
      </c>
      <c r="AU141" s="383">
        <f t="shared" si="48"/>
        <v>45.5</v>
      </c>
      <c r="AV141" s="383">
        <f t="shared" si="48"/>
        <v>46.5</v>
      </c>
      <c r="AW141" s="383">
        <f t="shared" si="48"/>
        <v>47.5</v>
      </c>
      <c r="AX141" s="383">
        <f t="shared" si="48"/>
        <v>48.5</v>
      </c>
      <c r="AY141" s="383">
        <f t="shared" si="48"/>
        <v>49.5</v>
      </c>
      <c r="AZ141" s="311"/>
      <c r="BA141" s="311"/>
      <c r="BB141" s="311"/>
      <c r="BC141" s="311"/>
      <c r="BD141" s="311"/>
      <c r="BE141" s="311"/>
      <c r="BF141" s="311"/>
      <c r="BG141" s="311"/>
      <c r="BH141" s="311"/>
      <c r="BI141" s="311"/>
      <c r="BJ141" s="311"/>
      <c r="BK141" s="311"/>
      <c r="BL141" s="311"/>
      <c r="BM141" s="311"/>
      <c r="BN141" s="311"/>
      <c r="BO141" s="311"/>
      <c r="BP141" s="311"/>
      <c r="BQ141" s="311"/>
      <c r="BR141" s="311"/>
      <c r="BS141" s="311"/>
    </row>
    <row r="142" spans="1:71" ht="12.75" x14ac:dyDescent="0.2">
      <c r="A142" s="313"/>
      <c r="B142" s="311"/>
      <c r="C142" s="311"/>
      <c r="D142" s="311"/>
      <c r="E142" s="311"/>
      <c r="F142" s="311"/>
      <c r="G142" s="311"/>
      <c r="H142" s="311"/>
      <c r="I142" s="311"/>
      <c r="J142" s="311"/>
      <c r="K142" s="311"/>
      <c r="L142" s="311"/>
      <c r="M142" s="311"/>
      <c r="N142" s="311"/>
      <c r="O142" s="311"/>
      <c r="P142" s="311"/>
      <c r="Q142" s="311"/>
      <c r="R142" s="311"/>
      <c r="S142" s="311"/>
      <c r="T142" s="311"/>
      <c r="U142" s="311"/>
      <c r="V142" s="311"/>
      <c r="W142" s="311"/>
      <c r="X142" s="311"/>
      <c r="Y142" s="311"/>
      <c r="Z142" s="311"/>
      <c r="AA142" s="311"/>
      <c r="AB142" s="311"/>
      <c r="AC142" s="311"/>
      <c r="AD142" s="311"/>
      <c r="AE142" s="311"/>
      <c r="AF142" s="311"/>
      <c r="AG142" s="311"/>
      <c r="AH142" s="311"/>
      <c r="AI142" s="311"/>
      <c r="AJ142" s="311"/>
      <c r="AK142" s="311"/>
      <c r="AL142" s="311"/>
      <c r="AM142" s="311"/>
      <c r="AN142" s="311"/>
      <c r="AO142" s="311"/>
      <c r="AP142" s="311"/>
      <c r="AR142" s="311"/>
      <c r="AS142" s="311"/>
      <c r="AT142" s="311"/>
      <c r="AU142" s="311"/>
      <c r="AV142" s="311"/>
      <c r="AW142" s="311"/>
      <c r="AX142" s="311"/>
      <c r="AY142" s="311"/>
      <c r="AZ142" s="311"/>
      <c r="BA142" s="311"/>
      <c r="BB142" s="311"/>
      <c r="BC142" s="311"/>
      <c r="BD142" s="311"/>
      <c r="BE142" s="311"/>
      <c r="BF142" s="311"/>
      <c r="BG142" s="311"/>
      <c r="BH142" s="311"/>
      <c r="BI142" s="311"/>
      <c r="BJ142" s="311"/>
      <c r="BK142" s="311"/>
      <c r="BL142" s="311"/>
      <c r="BM142" s="311"/>
      <c r="BN142" s="311"/>
      <c r="BO142" s="311"/>
      <c r="BP142" s="311"/>
      <c r="BQ142" s="311"/>
      <c r="BR142" s="311"/>
      <c r="BS142" s="311"/>
    </row>
    <row r="143" spans="1:71" ht="12.75" x14ac:dyDescent="0.2">
      <c r="A143" s="313"/>
      <c r="B143" s="311"/>
      <c r="C143" s="311"/>
      <c r="D143" s="311"/>
      <c r="E143" s="311"/>
      <c r="F143" s="311"/>
      <c r="G143" s="311"/>
      <c r="H143" s="311"/>
      <c r="I143" s="311"/>
      <c r="J143" s="311"/>
      <c r="K143" s="311"/>
      <c r="L143" s="311"/>
      <c r="M143" s="311"/>
      <c r="N143" s="311"/>
      <c r="O143" s="311"/>
      <c r="P143" s="311"/>
      <c r="Q143" s="311"/>
      <c r="R143" s="311"/>
      <c r="S143" s="311"/>
      <c r="T143" s="311"/>
      <c r="U143" s="311"/>
      <c r="V143" s="311"/>
      <c r="W143" s="311"/>
      <c r="X143" s="311"/>
      <c r="Y143" s="311"/>
      <c r="Z143" s="311"/>
      <c r="AA143" s="311"/>
      <c r="AB143" s="311"/>
      <c r="AC143" s="311"/>
      <c r="AD143" s="311"/>
      <c r="AE143" s="311"/>
      <c r="AF143" s="311"/>
      <c r="AG143" s="311"/>
      <c r="AH143" s="311"/>
      <c r="AI143" s="311"/>
      <c r="AJ143" s="311"/>
      <c r="AK143" s="311"/>
      <c r="AL143" s="311"/>
      <c r="AM143" s="311"/>
      <c r="AN143" s="311"/>
      <c r="AO143" s="311"/>
      <c r="AP143" s="311"/>
      <c r="AQ143" s="311"/>
      <c r="AR143" s="311"/>
      <c r="AS143" s="311"/>
      <c r="AT143" s="311"/>
      <c r="AU143" s="311"/>
      <c r="AV143" s="311"/>
      <c r="AW143" s="311"/>
      <c r="AX143" s="311"/>
      <c r="AY143" s="311"/>
      <c r="AZ143" s="311"/>
      <c r="BA143" s="311"/>
      <c r="BB143" s="311"/>
      <c r="BC143" s="311"/>
      <c r="BD143" s="311"/>
      <c r="BE143" s="311"/>
      <c r="BF143" s="311"/>
      <c r="BG143" s="311"/>
      <c r="BH143" s="311"/>
      <c r="BI143" s="311"/>
      <c r="BJ143" s="311"/>
      <c r="BK143" s="311"/>
      <c r="BL143" s="311"/>
      <c r="BM143" s="311"/>
      <c r="BN143" s="311"/>
      <c r="BO143" s="311"/>
      <c r="BP143" s="311"/>
      <c r="BQ143" s="311"/>
      <c r="BR143" s="311"/>
      <c r="BS143" s="311"/>
    </row>
    <row r="144" spans="1:71" ht="12.75" x14ac:dyDescent="0.2">
      <c r="A144" s="313"/>
      <c r="B144" s="311"/>
      <c r="C144" s="311"/>
      <c r="D144" s="311"/>
      <c r="E144" s="311"/>
      <c r="F144" s="311"/>
      <c r="G144" s="311"/>
      <c r="H144" s="311"/>
      <c r="I144" s="311"/>
      <c r="J144" s="311"/>
      <c r="K144" s="311"/>
      <c r="L144" s="311"/>
      <c r="M144" s="311"/>
      <c r="N144" s="311"/>
      <c r="O144" s="311"/>
      <c r="P144" s="311"/>
      <c r="Q144" s="311"/>
      <c r="R144" s="311"/>
      <c r="S144" s="311"/>
      <c r="T144" s="311"/>
      <c r="U144" s="311"/>
      <c r="V144" s="311"/>
      <c r="W144" s="311"/>
      <c r="X144" s="311"/>
      <c r="Y144" s="311"/>
      <c r="Z144" s="311"/>
      <c r="AA144" s="311"/>
      <c r="AB144" s="311"/>
      <c r="AC144" s="311"/>
      <c r="AD144" s="311"/>
      <c r="AE144" s="311"/>
      <c r="AF144" s="311"/>
      <c r="AG144" s="311"/>
      <c r="AH144" s="311"/>
      <c r="AI144" s="311"/>
      <c r="AJ144" s="311"/>
      <c r="AK144" s="311"/>
      <c r="AL144" s="311"/>
      <c r="AM144" s="311"/>
      <c r="AN144" s="311"/>
      <c r="AO144" s="311"/>
      <c r="AP144" s="311"/>
      <c r="AQ144" s="311"/>
      <c r="AR144" s="311"/>
      <c r="AS144" s="311"/>
      <c r="AT144" s="311"/>
      <c r="AU144" s="311"/>
      <c r="AV144" s="311"/>
      <c r="AW144" s="311"/>
      <c r="AX144" s="311"/>
      <c r="AY144" s="311"/>
      <c r="AZ144" s="311"/>
      <c r="BA144" s="311"/>
      <c r="BB144" s="311"/>
      <c r="BC144" s="311"/>
      <c r="BD144" s="311"/>
      <c r="BE144" s="311"/>
      <c r="BF144" s="311"/>
      <c r="BG144" s="311"/>
      <c r="BH144" s="311"/>
      <c r="BI144" s="311"/>
      <c r="BJ144" s="311"/>
      <c r="BK144" s="311"/>
      <c r="BL144" s="311"/>
      <c r="BM144" s="311"/>
      <c r="BN144" s="311"/>
      <c r="BO144" s="311"/>
      <c r="BP144" s="311"/>
      <c r="BQ144" s="311"/>
      <c r="BR144" s="311"/>
      <c r="BS144" s="311"/>
    </row>
    <row r="145" spans="1:71" ht="12.75" x14ac:dyDescent="0.2">
      <c r="A145" s="313"/>
      <c r="B145" s="311"/>
      <c r="C145" s="311"/>
      <c r="D145" s="311"/>
      <c r="E145" s="311"/>
      <c r="F145" s="311"/>
      <c r="G145" s="311"/>
      <c r="H145" s="311"/>
      <c r="I145" s="311"/>
      <c r="J145" s="311"/>
      <c r="K145" s="311"/>
      <c r="L145" s="311"/>
      <c r="M145" s="311"/>
      <c r="N145" s="311"/>
      <c r="O145" s="311"/>
      <c r="P145" s="311"/>
      <c r="Q145" s="311"/>
      <c r="R145" s="311"/>
      <c r="S145" s="311"/>
      <c r="T145" s="311"/>
      <c r="U145" s="311"/>
      <c r="V145" s="311"/>
      <c r="W145" s="311"/>
      <c r="X145" s="311"/>
      <c r="Y145" s="311"/>
      <c r="Z145" s="311"/>
      <c r="AA145" s="311"/>
      <c r="AB145" s="311"/>
      <c r="AC145" s="311"/>
      <c r="AD145" s="311"/>
      <c r="AE145" s="311"/>
      <c r="AF145" s="311"/>
      <c r="AG145" s="311"/>
      <c r="AH145" s="311"/>
      <c r="AI145" s="311"/>
      <c r="AJ145" s="311"/>
      <c r="AK145" s="311"/>
      <c r="AL145" s="311"/>
      <c r="AM145" s="311"/>
      <c r="AN145" s="311"/>
      <c r="AO145" s="311"/>
      <c r="AP145" s="311"/>
      <c r="AQ145" s="311"/>
      <c r="AR145" s="311"/>
      <c r="AS145" s="311"/>
      <c r="AT145" s="311"/>
      <c r="AU145" s="311"/>
      <c r="AV145" s="311"/>
      <c r="AW145" s="311"/>
      <c r="AX145" s="311"/>
      <c r="AY145" s="311"/>
      <c r="AZ145" s="311"/>
      <c r="BA145" s="311"/>
      <c r="BB145" s="311"/>
      <c r="BC145" s="311"/>
      <c r="BD145" s="311"/>
      <c r="BE145" s="311"/>
      <c r="BF145" s="311"/>
      <c r="BG145" s="311"/>
      <c r="BH145" s="311"/>
      <c r="BI145" s="311"/>
      <c r="BJ145" s="311"/>
      <c r="BK145" s="311"/>
      <c r="BL145" s="311"/>
      <c r="BM145" s="311"/>
      <c r="BN145" s="311"/>
      <c r="BO145" s="311"/>
      <c r="BP145" s="311"/>
      <c r="BQ145" s="311"/>
      <c r="BR145" s="311"/>
      <c r="BS145" s="311"/>
    </row>
    <row r="146" spans="1:71" ht="12.75" x14ac:dyDescent="0.2">
      <c r="A146" s="313"/>
      <c r="B146" s="311"/>
      <c r="C146" s="311"/>
      <c r="D146" s="311"/>
      <c r="E146" s="311"/>
      <c r="F146" s="311"/>
      <c r="G146" s="311"/>
      <c r="H146" s="311"/>
      <c r="I146" s="311"/>
      <c r="J146" s="311"/>
      <c r="K146" s="311"/>
      <c r="L146" s="311"/>
      <c r="M146" s="311"/>
      <c r="N146" s="311"/>
      <c r="O146" s="311"/>
      <c r="P146" s="311"/>
      <c r="Q146" s="311"/>
      <c r="R146" s="311"/>
      <c r="S146" s="311"/>
      <c r="T146" s="311"/>
      <c r="U146" s="311"/>
      <c r="V146" s="311"/>
      <c r="W146" s="311"/>
      <c r="X146" s="311"/>
      <c r="Y146" s="311"/>
      <c r="Z146" s="311"/>
      <c r="AA146" s="311"/>
      <c r="AB146" s="311"/>
      <c r="AC146" s="311"/>
      <c r="AD146" s="311"/>
      <c r="AE146" s="311"/>
      <c r="AF146" s="311"/>
      <c r="AG146" s="311"/>
      <c r="AH146" s="311"/>
      <c r="AI146" s="311"/>
      <c r="AJ146" s="311"/>
      <c r="AK146" s="311"/>
      <c r="AL146" s="311"/>
      <c r="AM146" s="311"/>
      <c r="AN146" s="311"/>
      <c r="AO146" s="311"/>
      <c r="AP146" s="311"/>
      <c r="AQ146" s="311"/>
      <c r="AR146" s="311"/>
      <c r="AS146" s="311"/>
      <c r="AT146" s="311"/>
      <c r="AU146" s="311"/>
      <c r="AV146" s="311"/>
      <c r="AW146" s="311"/>
      <c r="AX146" s="311"/>
      <c r="AY146" s="311"/>
      <c r="AZ146" s="311"/>
      <c r="BA146" s="311"/>
      <c r="BB146" s="311"/>
      <c r="BC146" s="311"/>
      <c r="BD146" s="311"/>
      <c r="BE146" s="311"/>
      <c r="BF146" s="311"/>
      <c r="BG146" s="311"/>
      <c r="BH146" s="311"/>
      <c r="BI146" s="311"/>
      <c r="BJ146" s="311"/>
      <c r="BK146" s="311"/>
      <c r="BL146" s="311"/>
      <c r="BM146" s="311"/>
      <c r="BN146" s="311"/>
      <c r="BO146" s="311"/>
      <c r="BP146" s="311"/>
      <c r="BQ146" s="311"/>
      <c r="BR146" s="311"/>
      <c r="BS146" s="311"/>
    </row>
    <row r="147" spans="1:71" ht="12.75" x14ac:dyDescent="0.2">
      <c r="A147" s="313"/>
      <c r="B147" s="311"/>
      <c r="C147" s="311"/>
      <c r="D147" s="311"/>
      <c r="E147" s="311"/>
      <c r="F147" s="311"/>
      <c r="G147" s="311"/>
      <c r="H147" s="311"/>
      <c r="I147" s="311"/>
      <c r="J147" s="311"/>
      <c r="K147" s="311"/>
      <c r="L147" s="311"/>
      <c r="M147" s="311"/>
      <c r="N147" s="311"/>
      <c r="O147" s="311"/>
      <c r="P147" s="311"/>
      <c r="Q147" s="311"/>
      <c r="R147" s="311"/>
      <c r="S147" s="311"/>
      <c r="T147" s="311"/>
      <c r="U147" s="311"/>
      <c r="V147" s="311"/>
      <c r="W147" s="311"/>
      <c r="X147" s="311"/>
      <c r="Y147" s="311"/>
      <c r="Z147" s="311"/>
      <c r="AA147" s="311"/>
      <c r="AB147" s="311"/>
      <c r="AC147" s="311"/>
      <c r="AD147" s="311"/>
      <c r="AE147" s="311"/>
      <c r="AF147" s="311"/>
      <c r="AG147" s="311"/>
      <c r="AH147" s="311"/>
      <c r="AI147" s="311"/>
      <c r="AJ147" s="311"/>
      <c r="AK147" s="311"/>
      <c r="AL147" s="311"/>
      <c r="AM147" s="311"/>
      <c r="AN147" s="311"/>
      <c r="AO147" s="311"/>
      <c r="AP147" s="311"/>
      <c r="AQ147" s="311"/>
      <c r="AR147" s="311"/>
      <c r="AS147" s="311"/>
      <c r="AT147" s="311"/>
      <c r="AU147" s="311"/>
      <c r="AV147" s="311"/>
      <c r="AW147" s="311"/>
      <c r="AX147" s="311"/>
      <c r="AY147" s="311"/>
      <c r="AZ147" s="311"/>
      <c r="BA147" s="311"/>
      <c r="BB147" s="311"/>
      <c r="BC147" s="311"/>
      <c r="BD147" s="311"/>
      <c r="BE147" s="311"/>
      <c r="BF147" s="311"/>
      <c r="BG147" s="311"/>
      <c r="BH147" s="311"/>
      <c r="BI147" s="311"/>
      <c r="BJ147" s="311"/>
      <c r="BK147" s="311"/>
      <c r="BL147" s="311"/>
      <c r="BM147" s="311"/>
      <c r="BN147" s="311"/>
      <c r="BO147" s="311"/>
      <c r="BP147" s="311"/>
      <c r="BQ147" s="311"/>
      <c r="BR147" s="311"/>
      <c r="BS147" s="311"/>
    </row>
    <row r="148" spans="1:71" ht="12.75" x14ac:dyDescent="0.2">
      <c r="A148" s="313"/>
      <c r="B148" s="311"/>
      <c r="C148" s="311"/>
      <c r="D148" s="311"/>
      <c r="E148" s="311"/>
      <c r="F148" s="311"/>
      <c r="G148" s="311"/>
      <c r="H148" s="311"/>
      <c r="I148" s="311"/>
      <c r="J148" s="311"/>
      <c r="K148" s="311"/>
      <c r="L148" s="311"/>
      <c r="M148" s="311"/>
      <c r="N148" s="311"/>
      <c r="O148" s="311"/>
      <c r="P148" s="311"/>
      <c r="Q148" s="311"/>
      <c r="R148" s="311"/>
      <c r="S148" s="311"/>
      <c r="T148" s="311"/>
      <c r="U148" s="311"/>
      <c r="V148" s="311"/>
      <c r="W148" s="311"/>
      <c r="X148" s="311"/>
      <c r="Y148" s="311"/>
      <c r="Z148" s="311"/>
      <c r="AA148" s="311"/>
      <c r="AB148" s="311"/>
      <c r="AC148" s="311"/>
      <c r="AD148" s="311"/>
      <c r="AE148" s="311"/>
      <c r="AF148" s="311"/>
      <c r="AG148" s="311"/>
      <c r="AH148" s="311"/>
      <c r="AI148" s="311"/>
      <c r="AJ148" s="311"/>
      <c r="AK148" s="311"/>
      <c r="AL148" s="311"/>
      <c r="AM148" s="311"/>
      <c r="AN148" s="311"/>
      <c r="AO148" s="311"/>
      <c r="AP148" s="311"/>
      <c r="AQ148" s="311"/>
      <c r="AR148" s="311"/>
      <c r="AS148" s="311"/>
      <c r="AT148" s="311"/>
      <c r="AU148" s="311"/>
      <c r="AV148" s="311"/>
      <c r="AW148" s="311"/>
      <c r="AX148" s="311"/>
      <c r="AY148" s="311"/>
      <c r="AZ148" s="311"/>
      <c r="BA148" s="311"/>
      <c r="BB148" s="311"/>
      <c r="BC148" s="311"/>
      <c r="BD148" s="311"/>
      <c r="BE148" s="311"/>
      <c r="BF148" s="311"/>
      <c r="BG148" s="311"/>
      <c r="BH148" s="311"/>
      <c r="BI148" s="311"/>
      <c r="BJ148" s="311"/>
      <c r="BK148" s="311"/>
      <c r="BL148" s="311"/>
      <c r="BM148" s="311"/>
      <c r="BN148" s="311"/>
      <c r="BO148" s="311"/>
      <c r="BP148" s="311"/>
      <c r="BQ148" s="311"/>
      <c r="BR148" s="311"/>
      <c r="BS148" s="311"/>
    </row>
    <row r="149" spans="1:71" ht="12.75" x14ac:dyDescent="0.2">
      <c r="A149" s="313"/>
      <c r="B149" s="311"/>
      <c r="C149" s="311"/>
      <c r="D149" s="311"/>
      <c r="E149" s="311"/>
      <c r="F149" s="311"/>
      <c r="G149" s="311"/>
      <c r="H149" s="311"/>
      <c r="I149" s="311"/>
      <c r="J149" s="311"/>
      <c r="K149" s="311"/>
      <c r="L149" s="311"/>
      <c r="M149" s="311"/>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1"/>
      <c r="AK149" s="311"/>
      <c r="AL149" s="311"/>
      <c r="AM149" s="311"/>
      <c r="AN149" s="311"/>
      <c r="AO149" s="311"/>
      <c r="AP149" s="311"/>
      <c r="AQ149" s="311"/>
      <c r="AR149" s="311"/>
      <c r="AS149" s="311"/>
      <c r="AT149" s="311"/>
      <c r="AU149" s="311"/>
      <c r="AV149" s="311"/>
      <c r="AW149" s="311"/>
      <c r="AX149" s="311"/>
      <c r="AY149" s="311"/>
      <c r="AZ149" s="311"/>
      <c r="BA149" s="311"/>
      <c r="BB149" s="311"/>
      <c r="BC149" s="311"/>
      <c r="BD149" s="311"/>
      <c r="BE149" s="311"/>
      <c r="BF149" s="311"/>
      <c r="BG149" s="311"/>
      <c r="BH149" s="311"/>
      <c r="BI149" s="311"/>
      <c r="BJ149" s="311"/>
      <c r="BK149" s="311"/>
      <c r="BL149" s="311"/>
      <c r="BM149" s="311"/>
      <c r="BN149" s="311"/>
      <c r="BO149" s="311"/>
      <c r="BP149" s="311"/>
      <c r="BQ149" s="311"/>
      <c r="BR149" s="311"/>
      <c r="BS149" s="311"/>
    </row>
    <row r="150" spans="1:71" ht="12.75" x14ac:dyDescent="0.2">
      <c r="A150" s="313"/>
      <c r="B150" s="311"/>
      <c r="C150" s="311"/>
      <c r="D150" s="311"/>
      <c r="E150" s="311"/>
      <c r="F150" s="311"/>
      <c r="G150" s="311"/>
      <c r="H150" s="311"/>
      <c r="I150" s="311"/>
      <c r="J150" s="311"/>
      <c r="K150" s="311"/>
      <c r="L150" s="311"/>
      <c r="M150" s="311"/>
      <c r="N150" s="311"/>
      <c r="O150" s="311"/>
      <c r="P150" s="311"/>
      <c r="Q150" s="311"/>
      <c r="R150" s="311"/>
      <c r="S150" s="311"/>
      <c r="T150" s="311"/>
      <c r="U150" s="311"/>
      <c r="V150" s="311"/>
      <c r="W150" s="311"/>
      <c r="X150" s="311"/>
      <c r="Y150" s="311"/>
      <c r="Z150" s="311"/>
      <c r="AA150" s="311"/>
      <c r="AB150" s="311"/>
      <c r="AC150" s="311"/>
      <c r="AD150" s="311"/>
      <c r="AE150" s="311"/>
      <c r="AF150" s="311"/>
      <c r="AG150" s="311"/>
      <c r="AH150" s="311"/>
      <c r="AI150" s="311"/>
      <c r="AJ150" s="311"/>
      <c r="AK150" s="311"/>
      <c r="AL150" s="311"/>
      <c r="AM150" s="311"/>
      <c r="AN150" s="311"/>
      <c r="AO150" s="311"/>
      <c r="AP150" s="311"/>
      <c r="AQ150" s="311"/>
      <c r="AR150" s="311"/>
      <c r="AS150" s="311"/>
      <c r="AT150" s="311"/>
      <c r="AU150" s="311"/>
      <c r="AV150" s="311"/>
      <c r="AW150" s="311"/>
      <c r="AX150" s="311"/>
      <c r="AY150" s="311"/>
      <c r="AZ150" s="311"/>
      <c r="BA150" s="311"/>
      <c r="BB150" s="311"/>
      <c r="BC150" s="311"/>
      <c r="BD150" s="311"/>
      <c r="BE150" s="311"/>
      <c r="BF150" s="311"/>
      <c r="BG150" s="311"/>
      <c r="BH150" s="311"/>
      <c r="BI150" s="311"/>
      <c r="BJ150" s="311"/>
      <c r="BK150" s="311"/>
      <c r="BL150" s="311"/>
      <c r="BM150" s="311"/>
      <c r="BN150" s="311"/>
      <c r="BO150" s="311"/>
      <c r="BP150" s="311"/>
      <c r="BQ150" s="311"/>
      <c r="BR150" s="311"/>
      <c r="BS150" s="311"/>
    </row>
    <row r="151" spans="1:71" ht="12.75" x14ac:dyDescent="0.2">
      <c r="A151" s="313"/>
      <c r="B151" s="311"/>
      <c r="C151" s="311"/>
      <c r="D151" s="311"/>
      <c r="E151" s="311"/>
      <c r="F151" s="311"/>
      <c r="G151" s="311"/>
      <c r="H151" s="311"/>
      <c r="I151" s="311"/>
      <c r="J151" s="311"/>
      <c r="K151" s="311"/>
      <c r="L151" s="311"/>
      <c r="M151" s="311"/>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1"/>
      <c r="AK151" s="311"/>
      <c r="AL151" s="311"/>
      <c r="AM151" s="311"/>
      <c r="AN151" s="311"/>
      <c r="AO151" s="311"/>
      <c r="AP151" s="311"/>
      <c r="AQ151" s="311"/>
      <c r="AR151" s="311"/>
      <c r="AS151" s="311"/>
      <c r="AT151" s="311"/>
      <c r="AU151" s="311"/>
      <c r="AV151" s="311"/>
      <c r="AW151" s="311"/>
      <c r="AX151" s="311"/>
      <c r="AY151" s="311"/>
      <c r="AZ151" s="311"/>
      <c r="BA151" s="311"/>
      <c r="BB151" s="311"/>
      <c r="BC151" s="311"/>
      <c r="BD151" s="311"/>
      <c r="BE151" s="311"/>
      <c r="BF151" s="311"/>
      <c r="BG151" s="311"/>
      <c r="BH151" s="311"/>
      <c r="BI151" s="311"/>
      <c r="BJ151" s="311"/>
      <c r="BK151" s="311"/>
      <c r="BL151" s="311"/>
      <c r="BM151" s="311"/>
      <c r="BN151" s="311"/>
      <c r="BO151" s="311"/>
      <c r="BP151" s="311"/>
      <c r="BQ151" s="311"/>
      <c r="BR151" s="311"/>
      <c r="BS151" s="311"/>
    </row>
    <row r="152" spans="1:71" ht="12.75" x14ac:dyDescent="0.2">
      <c r="A152" s="313"/>
      <c r="B152" s="311"/>
      <c r="C152" s="311"/>
      <c r="D152" s="311"/>
      <c r="E152" s="311"/>
      <c r="F152" s="311"/>
      <c r="G152" s="311"/>
      <c r="H152" s="311"/>
      <c r="I152" s="311"/>
      <c r="J152" s="311"/>
      <c r="K152" s="311"/>
      <c r="L152" s="311"/>
      <c r="M152" s="311"/>
      <c r="N152" s="311"/>
      <c r="O152" s="311"/>
      <c r="P152" s="311"/>
      <c r="Q152" s="311"/>
      <c r="R152" s="311"/>
      <c r="S152" s="311"/>
      <c r="T152" s="311"/>
      <c r="U152" s="311"/>
      <c r="V152" s="311"/>
      <c r="W152" s="311"/>
      <c r="X152" s="311"/>
      <c r="Y152" s="311"/>
      <c r="Z152" s="311"/>
      <c r="AA152" s="311"/>
      <c r="AB152" s="311"/>
      <c r="AC152" s="311"/>
      <c r="AD152" s="311"/>
      <c r="AE152" s="311"/>
      <c r="AF152" s="311"/>
      <c r="AG152" s="311"/>
      <c r="AH152" s="311"/>
      <c r="AI152" s="311"/>
      <c r="AJ152" s="311"/>
      <c r="AK152" s="311"/>
      <c r="AL152" s="311"/>
      <c r="AM152" s="311"/>
      <c r="AN152" s="311"/>
      <c r="AO152" s="311"/>
      <c r="AP152" s="311"/>
      <c r="AQ152" s="311"/>
      <c r="AR152" s="311"/>
      <c r="AS152" s="311"/>
      <c r="AT152" s="311"/>
      <c r="AU152" s="311"/>
      <c r="AV152" s="311"/>
      <c r="AW152" s="311"/>
      <c r="AX152" s="311"/>
      <c r="AY152" s="311"/>
      <c r="AZ152" s="311"/>
      <c r="BA152" s="311"/>
      <c r="BB152" s="311"/>
      <c r="BC152" s="311"/>
      <c r="BD152" s="311"/>
      <c r="BE152" s="311"/>
      <c r="BF152" s="311"/>
      <c r="BG152" s="311"/>
      <c r="BH152" s="311"/>
      <c r="BI152" s="311"/>
      <c r="BJ152" s="311"/>
      <c r="BK152" s="311"/>
      <c r="BL152" s="311"/>
      <c r="BM152" s="311"/>
      <c r="BN152" s="311"/>
      <c r="BO152" s="311"/>
      <c r="BP152" s="311"/>
      <c r="BQ152" s="311"/>
      <c r="BR152" s="311"/>
      <c r="BS152" s="311"/>
    </row>
    <row r="153" spans="1:71" ht="12.75" x14ac:dyDescent="0.2">
      <c r="A153" s="313"/>
      <c r="B153" s="311"/>
      <c r="C153" s="311"/>
      <c r="D153" s="311"/>
      <c r="E153" s="311"/>
      <c r="F153" s="311"/>
      <c r="G153" s="311"/>
      <c r="H153" s="311"/>
      <c r="I153" s="311"/>
      <c r="J153" s="311"/>
      <c r="K153" s="311"/>
      <c r="L153" s="311"/>
      <c r="M153" s="311"/>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1"/>
      <c r="AK153" s="311"/>
      <c r="AL153" s="311"/>
      <c r="AM153" s="311"/>
      <c r="AN153" s="311"/>
      <c r="AO153" s="311"/>
      <c r="AP153" s="311"/>
      <c r="AQ153" s="311"/>
      <c r="AR153" s="311"/>
      <c r="AS153" s="311"/>
      <c r="AT153" s="311"/>
      <c r="AU153" s="311"/>
      <c r="AV153" s="311"/>
      <c r="AW153" s="311"/>
      <c r="AX153" s="311"/>
      <c r="AY153" s="311"/>
      <c r="AZ153" s="311"/>
      <c r="BA153" s="311"/>
      <c r="BB153" s="311"/>
      <c r="BC153" s="311"/>
      <c r="BD153" s="311"/>
      <c r="BE153" s="311"/>
      <c r="BF153" s="311"/>
      <c r="BG153" s="311"/>
      <c r="BH153" s="311"/>
      <c r="BI153" s="311"/>
      <c r="BJ153" s="311"/>
      <c r="BK153" s="311"/>
      <c r="BL153" s="311"/>
      <c r="BM153" s="311"/>
      <c r="BN153" s="311"/>
      <c r="BO153" s="311"/>
      <c r="BP153" s="311"/>
      <c r="BQ153" s="311"/>
      <c r="BR153" s="311"/>
      <c r="BS153" s="311"/>
    </row>
    <row r="154" spans="1:71" ht="12.75" x14ac:dyDescent="0.2">
      <c r="A154" s="313"/>
      <c r="B154" s="311"/>
      <c r="C154" s="311"/>
      <c r="D154" s="311"/>
      <c r="E154" s="311"/>
      <c r="F154" s="311"/>
      <c r="G154" s="311"/>
      <c r="H154" s="311"/>
      <c r="I154" s="311"/>
      <c r="J154" s="311"/>
      <c r="K154" s="311"/>
      <c r="L154" s="311"/>
      <c r="M154" s="311"/>
      <c r="N154" s="311"/>
      <c r="O154" s="311"/>
      <c r="P154" s="311"/>
      <c r="Q154" s="311"/>
      <c r="R154" s="311"/>
      <c r="S154" s="311"/>
      <c r="T154" s="311"/>
      <c r="U154" s="311"/>
      <c r="V154" s="311"/>
      <c r="W154" s="311"/>
      <c r="X154" s="311"/>
      <c r="Y154" s="311"/>
      <c r="Z154" s="311"/>
      <c r="AA154" s="311"/>
      <c r="AB154" s="311"/>
      <c r="AC154" s="311"/>
      <c r="AD154" s="311"/>
      <c r="AE154" s="311"/>
      <c r="AF154" s="311"/>
      <c r="AG154" s="311"/>
      <c r="AH154" s="311"/>
      <c r="AI154" s="311"/>
      <c r="AJ154" s="311"/>
      <c r="AK154" s="311"/>
      <c r="AL154" s="311"/>
      <c r="AM154" s="311"/>
      <c r="AN154" s="311"/>
      <c r="AO154" s="311"/>
      <c r="AP154" s="311"/>
      <c r="AQ154" s="311"/>
      <c r="AR154" s="311"/>
      <c r="AS154" s="311"/>
      <c r="AT154" s="311"/>
      <c r="AU154" s="311"/>
      <c r="AV154" s="311"/>
      <c r="AW154" s="311"/>
      <c r="AX154" s="311"/>
      <c r="AY154" s="311"/>
      <c r="AZ154" s="311"/>
      <c r="BA154" s="311"/>
      <c r="BB154" s="311"/>
      <c r="BC154" s="311"/>
      <c r="BD154" s="311"/>
      <c r="BE154" s="311"/>
      <c r="BF154" s="311"/>
      <c r="BG154" s="311"/>
      <c r="BH154" s="311"/>
      <c r="BI154" s="311"/>
      <c r="BJ154" s="311"/>
      <c r="BK154" s="311"/>
      <c r="BL154" s="311"/>
      <c r="BM154" s="311"/>
      <c r="BN154" s="311"/>
      <c r="BO154" s="311"/>
      <c r="BP154" s="311"/>
      <c r="BQ154" s="311"/>
      <c r="BR154" s="311"/>
      <c r="BS154" s="311"/>
    </row>
    <row r="155" spans="1:71" ht="12.75" x14ac:dyDescent="0.2">
      <c r="A155" s="313"/>
      <c r="B155" s="311"/>
      <c r="C155" s="311"/>
      <c r="D155" s="311"/>
      <c r="E155" s="311"/>
      <c r="F155" s="311"/>
      <c r="G155" s="311"/>
      <c r="H155" s="311"/>
      <c r="I155" s="311"/>
      <c r="J155" s="311"/>
      <c r="K155" s="311"/>
      <c r="L155" s="311"/>
      <c r="M155" s="311"/>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1"/>
      <c r="AK155" s="311"/>
      <c r="AL155" s="311"/>
      <c r="AM155" s="311"/>
      <c r="AN155" s="311"/>
      <c r="AO155" s="311"/>
      <c r="AP155" s="311"/>
      <c r="AQ155" s="311"/>
      <c r="AR155" s="311"/>
      <c r="AS155" s="311"/>
      <c r="AT155" s="311"/>
      <c r="AU155" s="311"/>
      <c r="AV155" s="311"/>
      <c r="AW155" s="311"/>
      <c r="AX155" s="311"/>
      <c r="AY155" s="311"/>
      <c r="AZ155" s="311"/>
      <c r="BA155" s="311"/>
      <c r="BB155" s="311"/>
      <c r="BC155" s="311"/>
      <c r="BD155" s="311"/>
      <c r="BE155" s="311"/>
      <c r="BF155" s="311"/>
      <c r="BG155" s="311"/>
      <c r="BH155" s="311"/>
      <c r="BI155" s="311"/>
      <c r="BJ155" s="311"/>
      <c r="BK155" s="311"/>
      <c r="BL155" s="311"/>
      <c r="BM155" s="311"/>
      <c r="BN155" s="311"/>
      <c r="BO155" s="311"/>
      <c r="BP155" s="311"/>
      <c r="BQ155" s="311"/>
      <c r="BR155" s="311"/>
      <c r="BS155" s="311"/>
    </row>
    <row r="156" spans="1:71" ht="12.75" x14ac:dyDescent="0.2">
      <c r="A156" s="312"/>
      <c r="B156" s="309"/>
      <c r="C156" s="309"/>
      <c r="D156" s="309"/>
      <c r="E156" s="309"/>
      <c r="F156" s="309"/>
      <c r="G156" s="309"/>
      <c r="H156" s="309"/>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10"/>
      <c r="AR156" s="310"/>
      <c r="AS156" s="310"/>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row>
    <row r="157" spans="1:71" ht="12.75" x14ac:dyDescent="0.2">
      <c r="A157" s="312"/>
      <c r="B157" s="309"/>
      <c r="C157" s="309"/>
      <c r="D157" s="309"/>
      <c r="E157" s="309"/>
      <c r="F157" s="309"/>
      <c r="G157" s="309"/>
      <c r="H157" s="309"/>
      <c r="I157" s="309"/>
      <c r="J157" s="309"/>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10"/>
      <c r="AR157" s="310"/>
      <c r="AS157" s="310"/>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row>
    <row r="158" spans="1:71" ht="12.75" x14ac:dyDescent="0.2">
      <c r="A158" s="312"/>
      <c r="B158" s="309"/>
      <c r="C158" s="309"/>
      <c r="D158" s="309"/>
      <c r="E158" s="309"/>
      <c r="F158" s="309"/>
      <c r="G158" s="309"/>
      <c r="H158" s="309"/>
      <c r="I158" s="309"/>
      <c r="J158" s="309"/>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10"/>
      <c r="AR158" s="310"/>
      <c r="AS158" s="310"/>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row>
    <row r="159" spans="1:71" ht="12.75" x14ac:dyDescent="0.2">
      <c r="A159" s="312"/>
      <c r="B159" s="309"/>
      <c r="C159" s="309"/>
      <c r="D159" s="309"/>
      <c r="E159" s="309"/>
      <c r="F159" s="309"/>
      <c r="G159" s="309"/>
      <c r="H159" s="309"/>
      <c r="I159" s="309"/>
      <c r="J159" s="30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10"/>
      <c r="AR159" s="310"/>
      <c r="AS159" s="310"/>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row>
    <row r="160" spans="1:71" ht="12.75" x14ac:dyDescent="0.2">
      <c r="A160" s="312"/>
      <c r="B160" s="309"/>
      <c r="C160" s="309"/>
      <c r="D160" s="309"/>
      <c r="E160" s="309"/>
      <c r="F160" s="309"/>
      <c r="G160" s="309"/>
      <c r="H160" s="309"/>
      <c r="I160" s="309"/>
      <c r="J160" s="309"/>
      <c r="K160" s="309"/>
      <c r="L160" s="309"/>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10"/>
      <c r="AR160" s="310"/>
      <c r="AS160" s="310"/>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row>
    <row r="161" spans="1:71" ht="12.75" x14ac:dyDescent="0.2">
      <c r="A161" s="312"/>
      <c r="B161" s="309"/>
      <c r="C161" s="309"/>
      <c r="D161" s="309"/>
      <c r="E161" s="309"/>
      <c r="F161" s="309"/>
      <c r="G161" s="309"/>
      <c r="H161" s="309"/>
      <c r="I161" s="309"/>
      <c r="J161" s="30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10"/>
      <c r="AR161" s="310"/>
      <c r="AS161" s="310"/>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row>
    <row r="162" spans="1:71" ht="12.75" x14ac:dyDescent="0.2">
      <c r="A162" s="312"/>
      <c r="B162" s="309"/>
      <c r="C162" s="309"/>
      <c r="D162" s="309"/>
      <c r="E162" s="309"/>
      <c r="F162" s="309"/>
      <c r="G162" s="309"/>
      <c r="H162" s="309"/>
      <c r="I162" s="309"/>
      <c r="J162" s="309"/>
      <c r="K162" s="309"/>
      <c r="L162" s="309"/>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10"/>
      <c r="AR162" s="310"/>
      <c r="AS162" s="310"/>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row>
    <row r="163" spans="1:71" ht="12.75" x14ac:dyDescent="0.2">
      <c r="A163" s="312"/>
      <c r="B163" s="309"/>
      <c r="C163" s="309"/>
      <c r="D163" s="309"/>
      <c r="E163" s="309"/>
      <c r="F163" s="309"/>
      <c r="G163" s="309"/>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10"/>
      <c r="AR163" s="310"/>
      <c r="AS163" s="310"/>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row>
    <row r="164" spans="1:71" ht="12.75" x14ac:dyDescent="0.2">
      <c r="A164" s="312"/>
      <c r="B164" s="309"/>
      <c r="C164" s="309"/>
      <c r="D164" s="309"/>
      <c r="E164" s="309"/>
      <c r="F164" s="309"/>
      <c r="G164" s="309"/>
      <c r="H164" s="309"/>
      <c r="I164" s="309"/>
      <c r="J164" s="309"/>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10"/>
      <c r="AR164" s="310"/>
      <c r="AS164" s="310"/>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row>
    <row r="165" spans="1:71" ht="12.75" x14ac:dyDescent="0.2">
      <c r="A165" s="312"/>
      <c r="B165" s="309"/>
      <c r="C165" s="309"/>
      <c r="D165" s="309"/>
      <c r="E165" s="309"/>
      <c r="F165" s="309"/>
      <c r="G165" s="309"/>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10"/>
      <c r="AR165" s="310"/>
      <c r="AS165" s="310"/>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row>
    <row r="166" spans="1:71" ht="12.75" x14ac:dyDescent="0.2">
      <c r="A166" s="312"/>
      <c r="B166" s="309"/>
      <c r="C166" s="309"/>
      <c r="D166" s="309"/>
      <c r="E166" s="309"/>
      <c r="F166" s="309"/>
      <c r="G166" s="309"/>
      <c r="H166" s="309"/>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10"/>
      <c r="AR166" s="310"/>
      <c r="AS166" s="310"/>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row>
    <row r="167" spans="1:71" ht="12.75" x14ac:dyDescent="0.2">
      <c r="A167" s="312"/>
      <c r="B167" s="309"/>
      <c r="C167" s="309"/>
      <c r="D167" s="309"/>
      <c r="E167" s="309"/>
      <c r="F167" s="309"/>
      <c r="G167" s="309"/>
      <c r="H167" s="309"/>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10"/>
      <c r="AR167" s="310"/>
      <c r="AS167" s="310"/>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row>
    <row r="168" spans="1:71" ht="12.75" x14ac:dyDescent="0.2">
      <c r="A168" s="312"/>
      <c r="B168" s="309"/>
      <c r="C168" s="309"/>
      <c r="D168" s="309"/>
      <c r="E168" s="309"/>
      <c r="F168" s="309"/>
      <c r="G168" s="309"/>
      <c r="H168" s="309"/>
      <c r="I168" s="309"/>
      <c r="J168" s="309"/>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10"/>
      <c r="AR168" s="310"/>
      <c r="AS168" s="310"/>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row>
    <row r="169" spans="1:71" ht="12.75" x14ac:dyDescent="0.2">
      <c r="A169" s="312"/>
      <c r="B169" s="309"/>
      <c r="C169" s="309"/>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10"/>
      <c r="AR169" s="310"/>
      <c r="AS169" s="310"/>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row>
    <row r="170" spans="1:71" ht="12.75" x14ac:dyDescent="0.2">
      <c r="A170" s="312"/>
      <c r="B170" s="309"/>
      <c r="C170" s="309"/>
      <c r="D170" s="309"/>
      <c r="E170" s="309"/>
      <c r="F170" s="309"/>
      <c r="G170" s="309"/>
      <c r="H170" s="309"/>
      <c r="I170" s="309"/>
      <c r="J170" s="309"/>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10"/>
      <c r="AR170" s="310"/>
      <c r="AS170" s="310"/>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row>
    <row r="171" spans="1:71" ht="12.75" x14ac:dyDescent="0.2">
      <c r="A171" s="312"/>
      <c r="B171" s="309"/>
      <c r="C171" s="309"/>
      <c r="D171" s="309"/>
      <c r="E171" s="309"/>
      <c r="F171" s="309"/>
      <c r="G171" s="309"/>
      <c r="H171" s="309"/>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10"/>
      <c r="AR171" s="310"/>
      <c r="AS171" s="310"/>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row>
    <row r="172" spans="1:71" ht="12.75" x14ac:dyDescent="0.2">
      <c r="A172" s="312"/>
      <c r="B172" s="309"/>
      <c r="C172" s="309"/>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09"/>
      <c r="AF172" s="309"/>
      <c r="AG172" s="309"/>
      <c r="AH172" s="309"/>
      <c r="AI172" s="309"/>
      <c r="AJ172" s="309"/>
      <c r="AK172" s="309"/>
      <c r="AL172" s="309"/>
      <c r="AM172" s="309"/>
      <c r="AN172" s="309"/>
      <c r="AO172" s="309"/>
      <c r="AP172" s="309"/>
      <c r="AQ172" s="310"/>
      <c r="AR172" s="310"/>
      <c r="AS172" s="310"/>
      <c r="AT172" s="309"/>
      <c r="AU172" s="309"/>
      <c r="AV172" s="309"/>
      <c r="AW172" s="309"/>
      <c r="AX172" s="309"/>
      <c r="AY172" s="309"/>
      <c r="AZ172" s="309"/>
      <c r="BA172" s="309"/>
      <c r="BB172" s="309"/>
      <c r="BC172" s="309"/>
      <c r="BD172" s="309"/>
      <c r="BE172" s="309"/>
      <c r="BF172" s="309"/>
      <c r="BG172" s="309"/>
      <c r="BH172" s="309"/>
      <c r="BI172" s="309"/>
      <c r="BJ172" s="309"/>
      <c r="BK172" s="309"/>
      <c r="BL172" s="309"/>
      <c r="BM172" s="309"/>
      <c r="BN172" s="309"/>
      <c r="BO172" s="309"/>
      <c r="BP172" s="309"/>
      <c r="BQ172" s="309"/>
      <c r="BR172" s="309"/>
      <c r="BS172" s="309"/>
    </row>
    <row r="173" spans="1:71" ht="12.75" x14ac:dyDescent="0.2">
      <c r="A173" s="312"/>
      <c r="B173" s="309"/>
      <c r="C173" s="309"/>
      <c r="D173" s="309"/>
      <c r="E173" s="309"/>
      <c r="F173" s="309"/>
      <c r="G173" s="309"/>
      <c r="H173" s="309"/>
      <c r="I173" s="309"/>
      <c r="J173" s="309"/>
      <c r="K173" s="309"/>
      <c r="L173" s="309"/>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10"/>
      <c r="AR173" s="310"/>
      <c r="AS173" s="310"/>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row>
    <row r="174" spans="1:71" ht="12.75" x14ac:dyDescent="0.2">
      <c r="A174" s="312"/>
      <c r="B174" s="309"/>
      <c r="C174" s="309"/>
      <c r="D174" s="309"/>
      <c r="E174" s="309"/>
      <c r="F174" s="309"/>
      <c r="G174" s="309"/>
      <c r="H174" s="309"/>
      <c r="I174" s="309"/>
      <c r="J174" s="309"/>
      <c r="K174" s="309"/>
      <c r="L174" s="309"/>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10"/>
      <c r="AR174" s="310"/>
      <c r="AS174" s="310"/>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row>
    <row r="175" spans="1:71" ht="12.75" x14ac:dyDescent="0.2">
      <c r="A175" s="312"/>
      <c r="B175" s="309"/>
      <c r="C175" s="309"/>
      <c r="D175" s="309"/>
      <c r="E175" s="309"/>
      <c r="F175" s="309"/>
      <c r="G175" s="309"/>
      <c r="H175" s="309"/>
      <c r="I175" s="309"/>
      <c r="J175" s="309"/>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10"/>
      <c r="AR175" s="310"/>
      <c r="AS175" s="310"/>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row>
    <row r="176" spans="1:71" ht="12.75" x14ac:dyDescent="0.2">
      <c r="A176" s="312"/>
      <c r="B176" s="309"/>
      <c r="C176" s="309"/>
      <c r="D176" s="309"/>
      <c r="E176" s="309"/>
      <c r="F176" s="309"/>
      <c r="G176" s="309"/>
      <c r="H176" s="309"/>
      <c r="I176" s="309"/>
      <c r="J176" s="309"/>
      <c r="K176" s="309"/>
      <c r="L176" s="309"/>
      <c r="M176" s="309"/>
      <c r="N176" s="309"/>
      <c r="O176" s="309"/>
      <c r="P176" s="309"/>
      <c r="Q176" s="309"/>
      <c r="R176" s="309"/>
      <c r="S176" s="309"/>
      <c r="T176" s="309"/>
      <c r="U176" s="309"/>
      <c r="V176" s="309"/>
      <c r="W176" s="309"/>
      <c r="X176" s="309"/>
      <c r="Y176" s="309"/>
      <c r="Z176" s="309"/>
      <c r="AA176" s="309"/>
      <c r="AB176" s="309"/>
      <c r="AC176" s="309"/>
      <c r="AD176" s="309"/>
      <c r="AE176" s="309"/>
      <c r="AF176" s="309"/>
      <c r="AG176" s="309"/>
      <c r="AH176" s="309"/>
      <c r="AI176" s="309"/>
      <c r="AJ176" s="309"/>
      <c r="AK176" s="309"/>
      <c r="AL176" s="309"/>
      <c r="AM176" s="309"/>
      <c r="AN176" s="309"/>
      <c r="AO176" s="309"/>
      <c r="AP176" s="309"/>
      <c r="AQ176" s="310"/>
      <c r="AR176" s="310"/>
      <c r="AS176" s="310"/>
      <c r="AT176" s="309"/>
      <c r="AU176" s="309"/>
      <c r="AV176" s="309"/>
      <c r="AW176" s="309"/>
      <c r="AX176" s="309"/>
      <c r="AY176" s="309"/>
      <c r="AZ176" s="309"/>
      <c r="BA176" s="309"/>
      <c r="BB176" s="309"/>
      <c r="BC176" s="309"/>
      <c r="BD176" s="309"/>
      <c r="BE176" s="309"/>
      <c r="BF176" s="309"/>
      <c r="BG176" s="309"/>
      <c r="BH176" s="309"/>
      <c r="BI176" s="309"/>
      <c r="BJ176" s="309"/>
      <c r="BK176" s="309"/>
      <c r="BL176" s="309"/>
      <c r="BM176" s="309"/>
      <c r="BN176" s="309"/>
      <c r="BO176" s="309"/>
      <c r="BP176" s="309"/>
      <c r="BQ176" s="309"/>
      <c r="BR176" s="309"/>
      <c r="BS176" s="309"/>
    </row>
    <row r="177" spans="1:71" ht="12.75" x14ac:dyDescent="0.2">
      <c r="A177" s="312"/>
      <c r="B177" s="309"/>
      <c r="C177" s="309"/>
      <c r="D177" s="309"/>
      <c r="E177" s="309"/>
      <c r="F177" s="309"/>
      <c r="G177" s="309"/>
      <c r="H177" s="309"/>
      <c r="I177" s="309"/>
      <c r="J177" s="309"/>
      <c r="K177" s="309"/>
      <c r="L177" s="309"/>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10"/>
      <c r="AR177" s="310"/>
      <c r="AS177" s="310"/>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row>
    <row r="178" spans="1:71" ht="12.75" x14ac:dyDescent="0.2">
      <c r="A178" s="312"/>
      <c r="B178" s="309"/>
      <c r="C178" s="309"/>
      <c r="D178" s="309"/>
      <c r="E178" s="309"/>
      <c r="F178" s="309"/>
      <c r="G178" s="309"/>
      <c r="H178" s="309"/>
      <c r="I178" s="309"/>
      <c r="J178" s="309"/>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10"/>
      <c r="AR178" s="310"/>
      <c r="AS178" s="310"/>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row>
    <row r="179" spans="1:71" ht="12.75" x14ac:dyDescent="0.2">
      <c r="A179" s="312"/>
      <c r="B179" s="309"/>
      <c r="C179" s="309"/>
      <c r="D179" s="309"/>
      <c r="E179" s="309"/>
      <c r="F179" s="309"/>
      <c r="G179" s="309"/>
      <c r="H179" s="309"/>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10"/>
      <c r="AR179" s="310"/>
      <c r="AS179" s="310"/>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row>
    <row r="180" spans="1:71" ht="12.75" x14ac:dyDescent="0.2">
      <c r="A180" s="312"/>
      <c r="B180" s="309"/>
      <c r="C180" s="309"/>
      <c r="D180" s="309"/>
      <c r="E180" s="309"/>
      <c r="F180" s="309"/>
      <c r="G180" s="309"/>
      <c r="H180" s="309"/>
      <c r="I180" s="309"/>
      <c r="J180" s="309"/>
      <c r="K180" s="309"/>
      <c r="L180" s="309"/>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10"/>
      <c r="AR180" s="310"/>
      <c r="AS180" s="310"/>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row>
    <row r="181" spans="1:71" ht="12.75" x14ac:dyDescent="0.2">
      <c r="A181" s="312"/>
      <c r="B181" s="309"/>
      <c r="C181" s="309"/>
      <c r="D181" s="309"/>
      <c r="E181" s="309"/>
      <c r="F181" s="309"/>
      <c r="G181" s="309"/>
      <c r="H181" s="309"/>
      <c r="I181" s="309"/>
      <c r="J181" s="309"/>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10"/>
      <c r="AR181" s="310"/>
      <c r="AS181" s="310"/>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row>
    <row r="182" spans="1:71" ht="12.75" x14ac:dyDescent="0.2">
      <c r="A182" s="312"/>
      <c r="B182" s="309"/>
      <c r="C182" s="309"/>
      <c r="D182" s="309"/>
      <c r="E182" s="309"/>
      <c r="F182" s="309"/>
      <c r="G182" s="309"/>
      <c r="H182" s="309"/>
      <c r="I182" s="309"/>
      <c r="J182" s="309"/>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10"/>
      <c r="AR182" s="310"/>
      <c r="AS182" s="310"/>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row>
    <row r="183" spans="1:71" ht="12.75" x14ac:dyDescent="0.2">
      <c r="A183" s="312"/>
      <c r="B183" s="309"/>
      <c r="C183" s="309"/>
      <c r="D183" s="309"/>
      <c r="E183" s="309"/>
      <c r="F183" s="309"/>
      <c r="G183" s="309"/>
      <c r="H183" s="309"/>
      <c r="I183" s="309"/>
      <c r="J183" s="309"/>
      <c r="K183" s="309"/>
      <c r="L183" s="309"/>
      <c r="M183" s="309"/>
      <c r="N183" s="309"/>
      <c r="O183" s="309"/>
      <c r="P183" s="309"/>
      <c r="Q183" s="309"/>
      <c r="R183" s="309"/>
      <c r="S183" s="309"/>
      <c r="T183" s="309"/>
      <c r="U183" s="309"/>
      <c r="V183" s="309"/>
      <c r="W183" s="309"/>
      <c r="X183" s="309"/>
      <c r="Y183" s="309"/>
      <c r="Z183" s="309"/>
      <c r="AA183" s="309"/>
      <c r="AB183" s="309"/>
      <c r="AC183" s="309"/>
      <c r="AD183" s="309"/>
      <c r="AE183" s="309"/>
      <c r="AF183" s="309"/>
      <c r="AG183" s="309"/>
      <c r="AH183" s="309"/>
      <c r="AI183" s="309"/>
      <c r="AJ183" s="309"/>
      <c r="AK183" s="309"/>
      <c r="AL183" s="309"/>
      <c r="AM183" s="309"/>
      <c r="AN183" s="309"/>
      <c r="AO183" s="309"/>
      <c r="AP183" s="309"/>
      <c r="AQ183" s="310"/>
      <c r="AR183" s="310"/>
      <c r="AS183" s="310"/>
      <c r="AT183" s="309"/>
      <c r="AU183" s="309"/>
      <c r="AV183" s="309"/>
      <c r="AW183" s="309"/>
      <c r="AX183" s="309"/>
      <c r="AY183" s="309"/>
      <c r="AZ183" s="309"/>
      <c r="BA183" s="309"/>
      <c r="BB183" s="309"/>
      <c r="BC183" s="309"/>
      <c r="BD183" s="309"/>
      <c r="BE183" s="309"/>
      <c r="BF183" s="309"/>
      <c r="BG183" s="309"/>
      <c r="BH183" s="309"/>
      <c r="BI183" s="309"/>
      <c r="BJ183" s="309"/>
      <c r="BK183" s="309"/>
      <c r="BL183" s="309"/>
      <c r="BM183" s="309"/>
      <c r="BN183" s="309"/>
      <c r="BO183" s="309"/>
      <c r="BP183" s="309"/>
      <c r="BQ183" s="309"/>
      <c r="BR183" s="309"/>
      <c r="BS183" s="309"/>
    </row>
    <row r="184" spans="1:71" ht="12.75" x14ac:dyDescent="0.2">
      <c r="A184" s="312"/>
      <c r="B184" s="309"/>
      <c r="C184" s="309"/>
      <c r="D184" s="309"/>
      <c r="E184" s="309"/>
      <c r="F184" s="309"/>
      <c r="G184" s="309"/>
      <c r="H184" s="309"/>
      <c r="I184" s="309"/>
      <c r="J184" s="309"/>
      <c r="K184" s="309"/>
      <c r="L184" s="309"/>
      <c r="M184" s="309"/>
      <c r="N184" s="309"/>
      <c r="O184" s="309"/>
      <c r="P184" s="309"/>
      <c r="Q184" s="309"/>
      <c r="R184" s="309"/>
      <c r="S184" s="309"/>
      <c r="T184" s="309"/>
      <c r="U184" s="309"/>
      <c r="V184" s="309"/>
      <c r="W184" s="309"/>
      <c r="X184" s="309"/>
      <c r="Y184" s="309"/>
      <c r="Z184" s="309"/>
      <c r="AA184" s="309"/>
      <c r="AB184" s="309"/>
      <c r="AC184" s="309"/>
      <c r="AD184" s="309"/>
      <c r="AE184" s="309"/>
      <c r="AF184" s="309"/>
      <c r="AG184" s="309"/>
      <c r="AH184" s="309"/>
      <c r="AI184" s="309"/>
      <c r="AJ184" s="309"/>
      <c r="AK184" s="309"/>
      <c r="AL184" s="309"/>
      <c r="AM184" s="309"/>
      <c r="AN184" s="309"/>
      <c r="AO184" s="309"/>
      <c r="AP184" s="309"/>
      <c r="AQ184" s="310"/>
      <c r="AR184" s="310"/>
      <c r="AS184" s="310"/>
      <c r="AT184" s="309"/>
      <c r="AU184" s="309"/>
      <c r="AV184" s="309"/>
      <c r="AW184" s="309"/>
      <c r="AX184" s="309"/>
      <c r="AY184" s="309"/>
      <c r="AZ184" s="309"/>
      <c r="BA184" s="309"/>
      <c r="BB184" s="309"/>
      <c r="BC184" s="309"/>
      <c r="BD184" s="309"/>
      <c r="BE184" s="309"/>
      <c r="BF184" s="309"/>
      <c r="BG184" s="309"/>
      <c r="BH184" s="309"/>
      <c r="BI184" s="309"/>
      <c r="BJ184" s="309"/>
      <c r="BK184" s="309"/>
      <c r="BL184" s="309"/>
      <c r="BM184" s="309"/>
      <c r="BN184" s="309"/>
      <c r="BO184" s="309"/>
      <c r="BP184" s="309"/>
      <c r="BQ184" s="309"/>
      <c r="BR184" s="309"/>
      <c r="BS184" s="309"/>
    </row>
    <row r="185" spans="1:71" ht="12.75" x14ac:dyDescent="0.2">
      <c r="A185" s="312"/>
      <c r="B185" s="309"/>
      <c r="C185" s="309"/>
      <c r="D185" s="309"/>
      <c r="E185" s="309"/>
      <c r="F185" s="309"/>
      <c r="G185" s="309"/>
      <c r="H185" s="309"/>
      <c r="I185" s="309"/>
      <c r="J185" s="309"/>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10"/>
      <c r="AR185" s="310"/>
      <c r="AS185" s="310"/>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row>
    <row r="186" spans="1:71" ht="12.75" x14ac:dyDescent="0.2">
      <c r="A186" s="312"/>
      <c r="B186" s="309"/>
      <c r="C186" s="309"/>
      <c r="D186" s="309"/>
      <c r="E186" s="309"/>
      <c r="F186" s="309"/>
      <c r="G186" s="309"/>
      <c r="H186" s="309"/>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10"/>
      <c r="AR186" s="310"/>
      <c r="AS186" s="310"/>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row>
    <row r="187" spans="1:71" ht="12.75" x14ac:dyDescent="0.2">
      <c r="A187" s="312"/>
      <c r="B187" s="309"/>
      <c r="C187" s="309"/>
      <c r="D187" s="309"/>
      <c r="E187" s="309"/>
      <c r="F187" s="309"/>
      <c r="G187" s="309"/>
      <c r="H187" s="309"/>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10"/>
      <c r="AR187" s="310"/>
      <c r="AS187" s="310"/>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row>
    <row r="188" spans="1:71" ht="12.75" x14ac:dyDescent="0.2">
      <c r="A188" s="312"/>
      <c r="B188" s="309"/>
      <c r="C188" s="309"/>
      <c r="D188" s="309"/>
      <c r="E188" s="309"/>
      <c r="F188" s="309"/>
      <c r="G188" s="309"/>
      <c r="H188" s="309"/>
      <c r="I188" s="309"/>
      <c r="J188" s="309"/>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10"/>
      <c r="AR188" s="310"/>
      <c r="AS188" s="310"/>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row>
    <row r="189" spans="1:71" ht="12.75" x14ac:dyDescent="0.2">
      <c r="A189" s="312"/>
      <c r="B189" s="309"/>
      <c r="C189" s="309"/>
      <c r="D189" s="309"/>
      <c r="E189" s="309"/>
      <c r="F189" s="309"/>
      <c r="G189" s="309"/>
      <c r="H189" s="309"/>
      <c r="I189" s="309"/>
      <c r="J189" s="309"/>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10"/>
      <c r="AR189" s="310"/>
      <c r="AS189" s="310"/>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row>
    <row r="190" spans="1:71" ht="12.75" x14ac:dyDescent="0.2">
      <c r="A190" s="312"/>
      <c r="B190" s="309"/>
      <c r="C190" s="309"/>
      <c r="D190" s="309"/>
      <c r="E190" s="309"/>
      <c r="F190" s="309"/>
      <c r="G190" s="309"/>
      <c r="H190" s="309"/>
      <c r="I190" s="309"/>
      <c r="J190" s="30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10"/>
      <c r="AR190" s="310"/>
      <c r="AS190" s="310"/>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row>
    <row r="191" spans="1:71" ht="12.75" x14ac:dyDescent="0.2">
      <c r="A191" s="312"/>
      <c r="B191" s="309"/>
      <c r="C191" s="309"/>
      <c r="D191" s="309"/>
      <c r="E191" s="309"/>
      <c r="F191" s="309"/>
      <c r="G191" s="309"/>
      <c r="H191" s="309"/>
      <c r="I191" s="309"/>
      <c r="J191" s="309"/>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10"/>
      <c r="AR191" s="310"/>
      <c r="AS191" s="310"/>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row>
    <row r="192" spans="1:71" ht="12.75" x14ac:dyDescent="0.2">
      <c r="A192" s="312"/>
      <c r="B192" s="309"/>
      <c r="C192" s="309"/>
      <c r="D192" s="309"/>
      <c r="E192" s="309"/>
      <c r="F192" s="309"/>
      <c r="G192" s="309"/>
      <c r="H192" s="309"/>
      <c r="I192" s="309"/>
      <c r="J192" s="309"/>
      <c r="K192" s="309"/>
      <c r="L192" s="309"/>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10"/>
      <c r="AR192" s="310"/>
      <c r="AS192" s="310"/>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row>
    <row r="193" spans="1:71" ht="12.75" x14ac:dyDescent="0.2">
      <c r="A193" s="312"/>
      <c r="B193" s="309"/>
      <c r="C193" s="309"/>
      <c r="D193" s="309"/>
      <c r="E193" s="309"/>
      <c r="F193" s="309"/>
      <c r="G193" s="309"/>
      <c r="H193" s="309"/>
      <c r="I193" s="309"/>
      <c r="J193" s="309"/>
      <c r="K193" s="309"/>
      <c r="L193" s="309"/>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10"/>
      <c r="AR193" s="310"/>
      <c r="AS193" s="310"/>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row>
    <row r="194" spans="1:71" ht="12.75" x14ac:dyDescent="0.2">
      <c r="A194" s="312"/>
      <c r="B194" s="309"/>
      <c r="C194" s="309"/>
      <c r="D194" s="309"/>
      <c r="E194" s="309"/>
      <c r="F194" s="309"/>
      <c r="G194" s="309"/>
      <c r="H194" s="309"/>
      <c r="I194" s="309"/>
      <c r="J194" s="30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10"/>
      <c r="AR194" s="310"/>
      <c r="AS194" s="310"/>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row>
    <row r="195" spans="1:71" ht="12.75" x14ac:dyDescent="0.2">
      <c r="A195" s="312"/>
      <c r="B195" s="309"/>
      <c r="C195" s="309"/>
      <c r="D195" s="309"/>
      <c r="E195" s="309"/>
      <c r="F195" s="309"/>
      <c r="G195" s="309"/>
      <c r="H195" s="309"/>
      <c r="I195" s="309"/>
      <c r="J195" s="309"/>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10"/>
      <c r="AR195" s="310"/>
      <c r="AS195" s="310"/>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row>
    <row r="196" spans="1:71" ht="12.75" x14ac:dyDescent="0.2">
      <c r="A196" s="312"/>
      <c r="B196" s="309"/>
      <c r="C196" s="309"/>
      <c r="D196" s="309"/>
      <c r="E196" s="309"/>
      <c r="F196" s="309"/>
      <c r="G196" s="309"/>
      <c r="H196" s="309"/>
      <c r="I196" s="309"/>
      <c r="J196" s="309"/>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10"/>
      <c r="AR196" s="310"/>
      <c r="AS196" s="310"/>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row>
    <row r="197" spans="1:71" ht="12.75" x14ac:dyDescent="0.2">
      <c r="A197" s="312"/>
      <c r="B197" s="309"/>
      <c r="C197" s="309"/>
      <c r="D197" s="309"/>
      <c r="E197" s="309"/>
      <c r="F197" s="309"/>
      <c r="G197" s="309"/>
      <c r="H197" s="309"/>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10"/>
      <c r="AR197" s="310"/>
      <c r="AS197" s="310"/>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row>
    <row r="198" spans="1:71" ht="12.75" x14ac:dyDescent="0.2">
      <c r="A198" s="312"/>
      <c r="B198" s="309"/>
      <c r="C198" s="309"/>
      <c r="D198" s="309"/>
      <c r="E198" s="309"/>
      <c r="F198" s="309"/>
      <c r="G198" s="309"/>
      <c r="H198" s="309"/>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10"/>
      <c r="AR198" s="310"/>
      <c r="AS198" s="310"/>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row>
    <row r="199" spans="1:71" ht="12.75" x14ac:dyDescent="0.2">
      <c r="A199" s="312"/>
      <c r="B199" s="309"/>
      <c r="C199" s="309"/>
      <c r="D199" s="309"/>
      <c r="E199" s="309"/>
      <c r="F199" s="309"/>
      <c r="G199" s="309"/>
      <c r="H199" s="309"/>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10"/>
      <c r="AR199" s="310"/>
      <c r="AS199" s="310"/>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row>
    <row r="200" spans="1:71" ht="12.75" x14ac:dyDescent="0.2">
      <c r="A200" s="312"/>
      <c r="B200" s="309"/>
      <c r="C200" s="309"/>
      <c r="D200" s="309"/>
      <c r="E200" s="309"/>
      <c r="F200" s="309"/>
      <c r="G200" s="309"/>
      <c r="H200" s="309"/>
      <c r="I200" s="309"/>
      <c r="J200" s="309"/>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10"/>
      <c r="AR200" s="310"/>
      <c r="AS200" s="310"/>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row>
    <row r="201" spans="1:71" ht="12.75" x14ac:dyDescent="0.2">
      <c r="A201" s="312"/>
      <c r="B201" s="309"/>
      <c r="C201" s="309"/>
      <c r="D201" s="309"/>
      <c r="E201" s="309"/>
      <c r="F201" s="309"/>
      <c r="G201" s="309"/>
      <c r="H201" s="309"/>
      <c r="I201" s="309"/>
      <c r="J201" s="30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10"/>
      <c r="AR201" s="310"/>
      <c r="AS201" s="310"/>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row>
    <row r="202" spans="1:71" ht="12.75" x14ac:dyDescent="0.2">
      <c r="A202" s="312"/>
      <c r="B202" s="309"/>
      <c r="C202" s="309"/>
      <c r="D202" s="309"/>
      <c r="E202" s="309"/>
      <c r="F202" s="309"/>
      <c r="G202" s="309"/>
      <c r="H202" s="309"/>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10"/>
      <c r="AR202" s="310"/>
      <c r="AS202" s="310"/>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row>
    <row r="203" spans="1:71" ht="12.75" x14ac:dyDescent="0.2">
      <c r="A203" s="312"/>
      <c r="B203" s="309"/>
      <c r="C203" s="309"/>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10"/>
      <c r="AR203" s="310"/>
      <c r="AS203" s="310"/>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row>
    <row r="204" spans="1:71" ht="12.75" x14ac:dyDescent="0.2">
      <c r="A204" s="312"/>
      <c r="B204" s="309"/>
      <c r="C204" s="309"/>
      <c r="D204" s="309"/>
      <c r="E204" s="309"/>
      <c r="F204" s="309"/>
      <c r="G204" s="309"/>
      <c r="H204" s="309"/>
      <c r="I204" s="309"/>
      <c r="J204" s="309"/>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10"/>
      <c r="AR204" s="310"/>
      <c r="AS204" s="310"/>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row>
    <row r="205" spans="1:71" ht="12.75" x14ac:dyDescent="0.2">
      <c r="A205" s="312"/>
      <c r="B205" s="309"/>
      <c r="C205" s="309"/>
      <c r="D205" s="309"/>
      <c r="E205" s="309"/>
      <c r="F205" s="309"/>
      <c r="G205" s="309"/>
      <c r="H205" s="309"/>
      <c r="I205" s="309"/>
      <c r="J205" s="309"/>
      <c r="K205" s="309"/>
      <c r="L205" s="309"/>
      <c r="M205" s="309"/>
      <c r="N205" s="309"/>
      <c r="O205" s="309"/>
      <c r="P205" s="309"/>
      <c r="Q205" s="309"/>
      <c r="R205" s="309"/>
      <c r="S205" s="309"/>
      <c r="T205" s="309"/>
      <c r="U205" s="309"/>
      <c r="V205" s="309"/>
      <c r="W205" s="309"/>
      <c r="X205" s="309"/>
      <c r="Y205" s="309"/>
      <c r="Z205" s="309"/>
      <c r="AA205" s="309"/>
      <c r="AB205" s="309"/>
      <c r="AC205" s="309"/>
      <c r="AD205" s="309"/>
      <c r="AE205" s="309"/>
      <c r="AF205" s="309"/>
      <c r="AG205" s="309"/>
      <c r="AH205" s="309"/>
      <c r="AI205" s="309"/>
      <c r="AJ205" s="309"/>
      <c r="AK205" s="309"/>
      <c r="AL205" s="309"/>
      <c r="AM205" s="309"/>
      <c r="AN205" s="309"/>
      <c r="AO205" s="309"/>
      <c r="AP205" s="309"/>
      <c r="AQ205" s="310"/>
      <c r="AR205" s="310"/>
      <c r="AS205" s="310"/>
      <c r="AT205" s="309"/>
      <c r="AU205" s="309"/>
      <c r="AV205" s="309"/>
      <c r="AW205" s="309"/>
      <c r="AX205" s="309"/>
      <c r="AY205" s="309"/>
      <c r="AZ205" s="309"/>
      <c r="BA205" s="309"/>
      <c r="BB205" s="309"/>
      <c r="BC205" s="309"/>
      <c r="BD205" s="309"/>
      <c r="BE205" s="309"/>
      <c r="BF205" s="309"/>
      <c r="BG205" s="309"/>
      <c r="BH205" s="309"/>
      <c r="BI205" s="309"/>
      <c r="BJ205" s="309"/>
      <c r="BK205" s="309"/>
      <c r="BL205" s="309"/>
      <c r="BM205" s="309"/>
      <c r="BN205" s="309"/>
      <c r="BO205" s="309"/>
      <c r="BP205" s="309"/>
      <c r="BQ205" s="309"/>
      <c r="BR205" s="309"/>
      <c r="BS205" s="309"/>
    </row>
    <row r="206" spans="1:71" ht="12.75" x14ac:dyDescent="0.2">
      <c r="A206" s="312"/>
      <c r="B206" s="309"/>
      <c r="C206" s="309"/>
      <c r="D206" s="309"/>
      <c r="E206" s="309"/>
      <c r="F206" s="309"/>
      <c r="G206" s="309"/>
      <c r="H206" s="309"/>
      <c r="I206" s="309"/>
      <c r="J206" s="309"/>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10"/>
      <c r="AR206" s="310"/>
      <c r="AS206" s="310"/>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row>
    <row r="207" spans="1:71" ht="12.75" x14ac:dyDescent="0.2">
      <c r="A207" s="312"/>
      <c r="B207" s="309"/>
      <c r="C207" s="309"/>
      <c r="D207" s="309"/>
      <c r="E207" s="309"/>
      <c r="F207" s="309"/>
      <c r="G207" s="309"/>
      <c r="H207" s="309"/>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10"/>
      <c r="AR207" s="310"/>
      <c r="AS207" s="310"/>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row>
    <row r="208" spans="1:71" ht="12.75" x14ac:dyDescent="0.2">
      <c r="A208" s="312"/>
      <c r="B208" s="309"/>
      <c r="C208" s="309"/>
      <c r="D208" s="309"/>
      <c r="E208" s="309"/>
      <c r="F208" s="309"/>
      <c r="G208" s="309"/>
      <c r="H208" s="309"/>
      <c r="I208" s="309"/>
      <c r="J208" s="309"/>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10"/>
      <c r="AR208" s="310"/>
      <c r="AS208" s="310"/>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row>
  </sheetData>
  <mergeCells count="22">
    <mergeCell ref="A13:H13"/>
    <mergeCell ref="A15:H15"/>
    <mergeCell ref="A16:H16"/>
    <mergeCell ref="A18:H18"/>
    <mergeCell ref="D28:F28"/>
    <mergeCell ref="G28:H28"/>
    <mergeCell ref="A5:H5"/>
    <mergeCell ref="A7:H7"/>
    <mergeCell ref="A9:H9"/>
    <mergeCell ref="A10:H10"/>
    <mergeCell ref="A12:H12"/>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0" zoomScale="70" zoomScaleNormal="100" zoomScaleSheetLayoutView="70" workbookViewId="0">
      <selection activeCell="I54" sqref="I54"/>
    </sheetView>
  </sheetViews>
  <sheetFormatPr defaultColWidth="9.140625" defaultRowHeight="15" x14ac:dyDescent="0.25"/>
  <cols>
    <col min="1" max="1" width="8.28515625" style="123" customWidth="1"/>
    <col min="2" max="2" width="38.42578125" style="123" customWidth="1"/>
    <col min="3" max="6" width="14.140625" style="122" customWidth="1"/>
    <col min="7" max="8" width="14.140625" style="122" hidden="1" customWidth="1"/>
    <col min="9" max="9" width="21.7109375" style="122" customWidth="1"/>
    <col min="10" max="10" width="21.7109375" style="123" customWidth="1"/>
    <col min="11" max="11" width="29.140625" style="123" customWidth="1"/>
    <col min="12" max="12" width="30.5703125" style="123" customWidth="1"/>
    <col min="13" max="16384" width="9.140625" style="123"/>
  </cols>
  <sheetData>
    <row r="1" spans="1:11" ht="18.75" x14ac:dyDescent="0.25">
      <c r="A1" s="16"/>
      <c r="B1" s="16"/>
      <c r="C1" s="51"/>
      <c r="D1" s="51"/>
      <c r="E1" s="51"/>
      <c r="F1" s="51"/>
      <c r="G1" s="51"/>
      <c r="H1" s="51"/>
      <c r="I1" s="51"/>
      <c r="J1" s="16"/>
      <c r="K1" s="124" t="s">
        <v>66</v>
      </c>
    </row>
    <row r="2" spans="1:11" ht="18.75" x14ac:dyDescent="0.3">
      <c r="A2" s="16"/>
      <c r="B2" s="16"/>
      <c r="C2" s="51"/>
      <c r="D2" s="51"/>
      <c r="E2" s="51"/>
      <c r="F2" s="51"/>
      <c r="G2" s="51"/>
      <c r="H2" s="51"/>
      <c r="I2" s="51"/>
      <c r="J2" s="16"/>
      <c r="K2" s="125" t="s">
        <v>8</v>
      </c>
    </row>
    <row r="3" spans="1:11" ht="18.75" x14ac:dyDescent="0.3">
      <c r="A3" s="16"/>
      <c r="B3" s="16"/>
      <c r="C3" s="51"/>
      <c r="D3" s="51"/>
      <c r="E3" s="51"/>
      <c r="F3" s="51"/>
      <c r="G3" s="51"/>
      <c r="H3" s="51"/>
      <c r="I3" s="51"/>
      <c r="J3" s="16"/>
      <c r="K3" s="125" t="s">
        <v>65</v>
      </c>
    </row>
    <row r="4" spans="1:11" ht="15.75" x14ac:dyDescent="0.25">
      <c r="A4" s="16"/>
      <c r="B4" s="16"/>
      <c r="C4" s="51"/>
      <c r="D4" s="51"/>
      <c r="E4" s="51"/>
      <c r="F4" s="51"/>
      <c r="G4" s="51"/>
      <c r="H4" s="51"/>
      <c r="I4" s="51"/>
      <c r="J4" s="16"/>
      <c r="K4" s="16"/>
    </row>
    <row r="5" spans="1:11" ht="15.75" x14ac:dyDescent="0.25">
      <c r="A5" s="430" t="str">
        <f>'5. анализ эконом эфф'!A5</f>
        <v>Год раскрытия информации: 2025 год</v>
      </c>
      <c r="B5" s="430"/>
      <c r="C5" s="430"/>
      <c r="D5" s="430"/>
      <c r="E5" s="430"/>
      <c r="F5" s="430"/>
      <c r="G5" s="430"/>
      <c r="H5" s="430"/>
      <c r="I5" s="430"/>
      <c r="J5" s="430"/>
      <c r="K5" s="430"/>
    </row>
    <row r="6" spans="1:11" ht="15.75" x14ac:dyDescent="0.25">
      <c r="A6" s="16"/>
      <c r="B6" s="16"/>
      <c r="C6" s="51"/>
      <c r="D6" s="51"/>
      <c r="E6" s="51"/>
      <c r="F6" s="51"/>
      <c r="G6" s="51"/>
      <c r="H6" s="51"/>
      <c r="I6" s="51"/>
      <c r="J6" s="16"/>
      <c r="K6" s="16"/>
    </row>
    <row r="7" spans="1:11" ht="18.75" x14ac:dyDescent="0.25">
      <c r="A7" s="513" t="s">
        <v>7</v>
      </c>
      <c r="B7" s="513"/>
      <c r="C7" s="513"/>
      <c r="D7" s="513"/>
      <c r="E7" s="513"/>
      <c r="F7" s="513"/>
      <c r="G7" s="513"/>
      <c r="H7" s="513"/>
      <c r="I7" s="513"/>
      <c r="J7" s="513"/>
      <c r="K7" s="513"/>
    </row>
    <row r="8" spans="1:11" ht="18.75" x14ac:dyDescent="0.25">
      <c r="A8" s="513"/>
      <c r="B8" s="513"/>
      <c r="C8" s="513"/>
      <c r="D8" s="513"/>
      <c r="E8" s="513"/>
      <c r="F8" s="513"/>
      <c r="G8" s="513"/>
      <c r="H8" s="513"/>
      <c r="I8" s="513"/>
      <c r="J8" s="513"/>
      <c r="K8" s="513"/>
    </row>
    <row r="9" spans="1:11" ht="15.75" x14ac:dyDescent="0.25">
      <c r="A9" s="514" t="str">
        <f>'5. анализ эконом эфф'!A9</f>
        <v>Акционерное общество "Россети Янтарь" ДЗО  ПАО "Россети"</v>
      </c>
      <c r="B9" s="514"/>
      <c r="C9" s="514"/>
      <c r="D9" s="514"/>
      <c r="E9" s="514"/>
      <c r="F9" s="514"/>
      <c r="G9" s="514"/>
      <c r="H9" s="514"/>
      <c r="I9" s="514"/>
      <c r="J9" s="514"/>
      <c r="K9" s="514"/>
    </row>
    <row r="10" spans="1:11" ht="15.75" x14ac:dyDescent="0.25">
      <c r="A10" s="500" t="s">
        <v>6</v>
      </c>
      <c r="B10" s="500"/>
      <c r="C10" s="500"/>
      <c r="D10" s="500"/>
      <c r="E10" s="500"/>
      <c r="F10" s="500"/>
      <c r="G10" s="500"/>
      <c r="H10" s="500"/>
      <c r="I10" s="500"/>
      <c r="J10" s="500"/>
      <c r="K10" s="500"/>
    </row>
    <row r="11" spans="1:11" ht="18.75" x14ac:dyDescent="0.25">
      <c r="A11" s="513"/>
      <c r="B11" s="513"/>
      <c r="C11" s="513"/>
      <c r="D11" s="513"/>
      <c r="E11" s="513"/>
      <c r="F11" s="513"/>
      <c r="G11" s="513"/>
      <c r="H11" s="513"/>
      <c r="I11" s="513"/>
      <c r="J11" s="513"/>
      <c r="K11" s="513"/>
    </row>
    <row r="12" spans="1:11" ht="15.75" x14ac:dyDescent="0.25">
      <c r="A12" s="514" t="str">
        <f>'5. анализ эконом эфф'!A12</f>
        <v>N_21-0947</v>
      </c>
      <c r="B12" s="514"/>
      <c r="C12" s="514"/>
      <c r="D12" s="514"/>
      <c r="E12" s="514"/>
      <c r="F12" s="514"/>
      <c r="G12" s="514"/>
      <c r="H12" s="514"/>
      <c r="I12" s="514"/>
      <c r="J12" s="514"/>
      <c r="K12" s="514"/>
    </row>
    <row r="13" spans="1:11" ht="15.75" x14ac:dyDescent="0.25">
      <c r="A13" s="500" t="s">
        <v>5</v>
      </c>
      <c r="B13" s="500"/>
      <c r="C13" s="500"/>
      <c r="D13" s="500"/>
      <c r="E13" s="500"/>
      <c r="F13" s="500"/>
      <c r="G13" s="500"/>
      <c r="H13" s="500"/>
      <c r="I13" s="500"/>
      <c r="J13" s="500"/>
      <c r="K13" s="500"/>
    </row>
    <row r="14" spans="1:11" ht="18.75" x14ac:dyDescent="0.25">
      <c r="A14" s="443"/>
      <c r="B14" s="443"/>
      <c r="C14" s="443"/>
      <c r="D14" s="443"/>
      <c r="E14" s="443"/>
      <c r="F14" s="443"/>
      <c r="G14" s="443"/>
      <c r="H14" s="443"/>
      <c r="I14" s="443"/>
      <c r="J14" s="443"/>
      <c r="K14" s="443"/>
    </row>
    <row r="15" spans="1:11" ht="15.75" x14ac:dyDescent="0.25">
      <c r="A15" s="501" t="str">
        <f>'5. анализ эконом эфф'!A15</f>
        <v>Строительство ТП 15/0,4 кВ, 2-х ЛЭП 15 кВ от ЗРУ 15 кВ ПС 110 кВ О-10, ЛЭП 0,4 кВ, организация системы учета электроэнергии в г. Зеленоградске, п. Вишневое</v>
      </c>
      <c r="B15" s="501"/>
      <c r="C15" s="501"/>
      <c r="D15" s="501"/>
      <c r="E15" s="501"/>
      <c r="F15" s="501"/>
      <c r="G15" s="501"/>
      <c r="H15" s="501"/>
      <c r="I15" s="501"/>
      <c r="J15" s="501"/>
      <c r="K15" s="501"/>
    </row>
    <row r="16" spans="1:11" ht="15.75" x14ac:dyDescent="0.25">
      <c r="A16" s="500" t="s">
        <v>4</v>
      </c>
      <c r="B16" s="500"/>
      <c r="C16" s="500"/>
      <c r="D16" s="500"/>
      <c r="E16" s="500"/>
      <c r="F16" s="500"/>
      <c r="G16" s="500"/>
      <c r="H16" s="500"/>
      <c r="I16" s="500"/>
      <c r="J16" s="500"/>
      <c r="K16" s="500"/>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508" t="s">
        <v>358</v>
      </c>
      <c r="B19" s="508"/>
      <c r="C19" s="508"/>
      <c r="D19" s="508"/>
      <c r="E19" s="508"/>
      <c r="F19" s="508"/>
      <c r="G19" s="508"/>
      <c r="H19" s="508"/>
      <c r="I19" s="508"/>
      <c r="J19" s="508"/>
      <c r="K19" s="508"/>
    </row>
    <row r="20" spans="1:12" ht="15.75" x14ac:dyDescent="0.25">
      <c r="A20" s="52"/>
      <c r="K20" s="51"/>
    </row>
    <row r="21" spans="1:12" ht="15.75" x14ac:dyDescent="0.25">
      <c r="A21" s="502" t="s">
        <v>193</v>
      </c>
      <c r="B21" s="502" t="s">
        <v>397</v>
      </c>
      <c r="C21" s="502" t="s">
        <v>402</v>
      </c>
      <c r="D21" s="502"/>
      <c r="E21" s="502"/>
      <c r="F21" s="502"/>
      <c r="G21" s="502"/>
      <c r="H21" s="502"/>
      <c r="I21" s="503" t="s">
        <v>192</v>
      </c>
      <c r="J21" s="504" t="s">
        <v>403</v>
      </c>
      <c r="K21" s="502" t="s">
        <v>191</v>
      </c>
      <c r="L21" s="499" t="s">
        <v>468</v>
      </c>
    </row>
    <row r="22" spans="1:12" ht="32.25" customHeight="1" x14ac:dyDescent="0.25">
      <c r="A22" s="502"/>
      <c r="B22" s="502"/>
      <c r="C22" s="507" t="s">
        <v>2</v>
      </c>
      <c r="D22" s="507"/>
      <c r="E22" s="511" t="s">
        <v>9</v>
      </c>
      <c r="F22" s="512"/>
      <c r="G22" s="509" t="s">
        <v>464</v>
      </c>
      <c r="H22" s="510"/>
      <c r="I22" s="503"/>
      <c r="J22" s="505"/>
      <c r="K22" s="502"/>
      <c r="L22" s="499"/>
    </row>
    <row r="23" spans="1:12" ht="31.5" x14ac:dyDescent="0.25">
      <c r="A23" s="502"/>
      <c r="B23" s="502"/>
      <c r="C23" s="134" t="s">
        <v>190</v>
      </c>
      <c r="D23" s="134" t="s">
        <v>189</v>
      </c>
      <c r="E23" s="134" t="s">
        <v>190</v>
      </c>
      <c r="F23" s="134" t="s">
        <v>189</v>
      </c>
      <c r="G23" s="134" t="s">
        <v>190</v>
      </c>
      <c r="H23" s="134" t="s">
        <v>189</v>
      </c>
      <c r="I23" s="503"/>
      <c r="J23" s="506"/>
      <c r="K23" s="502"/>
      <c r="L23" s="499"/>
    </row>
    <row r="24" spans="1:12" ht="15.75" x14ac:dyDescent="0.25">
      <c r="A24" s="137">
        <v>1</v>
      </c>
      <c r="B24" s="137">
        <v>2</v>
      </c>
      <c r="C24" s="134">
        <v>3</v>
      </c>
      <c r="D24" s="134">
        <v>4</v>
      </c>
      <c r="E24" s="134">
        <v>5</v>
      </c>
      <c r="F24" s="134">
        <v>6</v>
      </c>
      <c r="G24" s="134">
        <v>7</v>
      </c>
      <c r="H24" s="134">
        <v>8</v>
      </c>
      <c r="I24" s="134">
        <v>9</v>
      </c>
      <c r="J24" s="134">
        <v>10</v>
      </c>
      <c r="K24" s="134">
        <v>11</v>
      </c>
      <c r="L24" s="134">
        <v>12</v>
      </c>
    </row>
    <row r="25" spans="1:12" ht="15.75" x14ac:dyDescent="0.25">
      <c r="A25" s="146">
        <v>1</v>
      </c>
      <c r="B25" s="147" t="s">
        <v>188</v>
      </c>
      <c r="C25" s="151"/>
      <c r="D25" s="135"/>
      <c r="E25" s="135"/>
      <c r="F25" s="135"/>
      <c r="G25" s="135"/>
      <c r="H25" s="151"/>
      <c r="I25" s="151"/>
      <c r="J25" s="139"/>
      <c r="K25" s="140"/>
      <c r="L25" s="141"/>
    </row>
    <row r="26" spans="1:12" ht="15.75" x14ac:dyDescent="0.25">
      <c r="A26" s="146" t="s">
        <v>404</v>
      </c>
      <c r="B26" s="148" t="s">
        <v>405</v>
      </c>
      <c r="C26" s="159" t="s">
        <v>475</v>
      </c>
      <c r="D26" s="160" t="s">
        <v>475</v>
      </c>
      <c r="E26" s="160">
        <v>44228</v>
      </c>
      <c r="F26" s="160">
        <v>44648</v>
      </c>
      <c r="G26" s="160"/>
      <c r="H26" s="160"/>
      <c r="I26" s="324">
        <v>100</v>
      </c>
      <c r="J26" s="324"/>
      <c r="K26" s="140"/>
      <c r="L26" s="140"/>
    </row>
    <row r="27" spans="1:12" ht="31.5" x14ac:dyDescent="0.25">
      <c r="A27" s="146" t="s">
        <v>407</v>
      </c>
      <c r="B27" s="148" t="s">
        <v>408</v>
      </c>
      <c r="C27" s="159" t="s">
        <v>475</v>
      </c>
      <c r="D27" s="160" t="s">
        <v>475</v>
      </c>
      <c r="E27" s="159" t="s">
        <v>406</v>
      </c>
      <c r="F27" s="160" t="str">
        <f t="shared" ref="F27:F30" si="0">E27</f>
        <v>не требуется</v>
      </c>
      <c r="G27" s="160"/>
      <c r="H27" s="160"/>
      <c r="I27" s="163"/>
      <c r="J27" s="135"/>
      <c r="K27" s="140"/>
      <c r="L27" s="140"/>
    </row>
    <row r="28" spans="1:12" ht="47.25" x14ac:dyDescent="0.25">
      <c r="A28" s="146" t="s">
        <v>410</v>
      </c>
      <c r="B28" s="148" t="s">
        <v>409</v>
      </c>
      <c r="C28" s="159" t="s">
        <v>475</v>
      </c>
      <c r="D28" s="160" t="s">
        <v>475</v>
      </c>
      <c r="E28" s="159" t="s">
        <v>406</v>
      </c>
      <c r="F28" s="160" t="str">
        <f t="shared" si="0"/>
        <v>не требуется</v>
      </c>
      <c r="G28" s="160"/>
      <c r="H28" s="160"/>
      <c r="I28" s="163"/>
      <c r="J28" s="135"/>
      <c r="K28" s="140"/>
      <c r="L28" s="140"/>
    </row>
    <row r="29" spans="1:12" ht="31.5" x14ac:dyDescent="0.25">
      <c r="A29" s="146" t="s">
        <v>412</v>
      </c>
      <c r="B29" s="148" t="s">
        <v>411</v>
      </c>
      <c r="C29" s="159" t="s">
        <v>475</v>
      </c>
      <c r="D29" s="160" t="s">
        <v>475</v>
      </c>
      <c r="E29" s="159" t="s">
        <v>406</v>
      </c>
      <c r="F29" s="160" t="str">
        <f t="shared" si="0"/>
        <v>не требуется</v>
      </c>
      <c r="G29" s="160"/>
      <c r="H29" s="160"/>
      <c r="I29" s="163"/>
      <c r="J29" s="136"/>
      <c r="K29" s="140"/>
      <c r="L29" s="140"/>
    </row>
    <row r="30" spans="1:12" ht="31.5" x14ac:dyDescent="0.25">
      <c r="A30" s="146" t="s">
        <v>414</v>
      </c>
      <c r="B30" s="148" t="s">
        <v>413</v>
      </c>
      <c r="C30" s="159" t="s">
        <v>475</v>
      </c>
      <c r="D30" s="160" t="s">
        <v>475</v>
      </c>
      <c r="E30" s="159" t="s">
        <v>406</v>
      </c>
      <c r="F30" s="160" t="str">
        <f t="shared" si="0"/>
        <v>не требуется</v>
      </c>
      <c r="G30" s="160"/>
      <c r="H30" s="160"/>
      <c r="I30" s="163"/>
      <c r="J30" s="139"/>
      <c r="K30" s="140"/>
      <c r="L30" s="140"/>
    </row>
    <row r="31" spans="1:12" ht="31.5" x14ac:dyDescent="0.25">
      <c r="A31" s="146" t="s">
        <v>415</v>
      </c>
      <c r="B31" s="148" t="s">
        <v>322</v>
      </c>
      <c r="C31" s="159" t="s">
        <v>475</v>
      </c>
      <c r="D31" s="160" t="s">
        <v>475</v>
      </c>
      <c r="E31" s="159">
        <v>45125</v>
      </c>
      <c r="F31" s="159">
        <v>45125</v>
      </c>
      <c r="G31" s="160"/>
      <c r="H31" s="160"/>
      <c r="I31" s="324">
        <v>100</v>
      </c>
      <c r="J31" s="139"/>
      <c r="K31" s="140"/>
      <c r="L31" s="140"/>
    </row>
    <row r="32" spans="1:12" ht="31.5" x14ac:dyDescent="0.25">
      <c r="A32" s="146" t="s">
        <v>417</v>
      </c>
      <c r="B32" s="148" t="s">
        <v>416</v>
      </c>
      <c r="C32" s="159" t="s">
        <v>475</v>
      </c>
      <c r="D32" s="160" t="s">
        <v>475</v>
      </c>
      <c r="E32" s="159">
        <v>45635</v>
      </c>
      <c r="F32" s="160">
        <v>45635</v>
      </c>
      <c r="G32" s="160"/>
      <c r="H32" s="160"/>
      <c r="I32" s="324">
        <v>100</v>
      </c>
      <c r="J32" s="324"/>
      <c r="K32" s="140"/>
      <c r="L32" s="140"/>
    </row>
    <row r="33" spans="1:12" ht="47.25" x14ac:dyDescent="0.25">
      <c r="A33" s="146" t="s">
        <v>419</v>
      </c>
      <c r="B33" s="148" t="s">
        <v>418</v>
      </c>
      <c r="C33" s="159" t="s">
        <v>475</v>
      </c>
      <c r="D33" s="160" t="s">
        <v>475</v>
      </c>
      <c r="E33" s="159" t="s">
        <v>406</v>
      </c>
      <c r="F33" s="160" t="str">
        <f t="shared" ref="F33:F34" si="1">E33</f>
        <v>не требуется</v>
      </c>
      <c r="G33" s="160"/>
      <c r="H33" s="160"/>
      <c r="I33" s="163"/>
      <c r="J33" s="136"/>
      <c r="K33" s="140"/>
      <c r="L33" s="140"/>
    </row>
    <row r="34" spans="1:12" ht="63" x14ac:dyDescent="0.25">
      <c r="A34" s="146" t="s">
        <v>421</v>
      </c>
      <c r="B34" s="148" t="s">
        <v>420</v>
      </c>
      <c r="C34" s="159" t="s">
        <v>475</v>
      </c>
      <c r="D34" s="160" t="s">
        <v>475</v>
      </c>
      <c r="E34" s="159" t="s">
        <v>406</v>
      </c>
      <c r="F34" s="160" t="str">
        <f t="shared" si="1"/>
        <v>не требуется</v>
      </c>
      <c r="G34" s="160"/>
      <c r="H34" s="160"/>
      <c r="I34" s="164"/>
      <c r="J34" s="135"/>
      <c r="K34" s="142"/>
      <c r="L34" s="140"/>
    </row>
    <row r="35" spans="1:12" ht="31.5" x14ac:dyDescent="0.25">
      <c r="A35" s="146" t="s">
        <v>422</v>
      </c>
      <c r="B35" s="148" t="s">
        <v>187</v>
      </c>
      <c r="C35" s="159" t="s">
        <v>475</v>
      </c>
      <c r="D35" s="160" t="s">
        <v>475</v>
      </c>
      <c r="E35" s="160"/>
      <c r="F35" s="160"/>
      <c r="G35" s="160"/>
      <c r="H35" s="160"/>
      <c r="I35" s="324"/>
      <c r="J35" s="324"/>
      <c r="K35" s="142"/>
      <c r="L35" s="140"/>
    </row>
    <row r="36" spans="1:12" ht="31.5" x14ac:dyDescent="0.25">
      <c r="A36" s="146" t="s">
        <v>424</v>
      </c>
      <c r="B36" s="148" t="s">
        <v>423</v>
      </c>
      <c r="C36" s="159" t="s">
        <v>475</v>
      </c>
      <c r="D36" s="160" t="s">
        <v>475</v>
      </c>
      <c r="E36" s="159" t="s">
        <v>406</v>
      </c>
      <c r="F36" s="160" t="str">
        <f t="shared" ref="F36" si="2">E36</f>
        <v>не требуется</v>
      </c>
      <c r="G36" s="160"/>
      <c r="H36" s="160"/>
      <c r="I36" s="165"/>
      <c r="J36" s="136"/>
      <c r="K36" s="143"/>
      <c r="L36" s="140"/>
    </row>
    <row r="37" spans="1:12" ht="15.75" x14ac:dyDescent="0.25">
      <c r="A37" s="146" t="s">
        <v>425</v>
      </c>
      <c r="B37" s="148" t="s">
        <v>186</v>
      </c>
      <c r="C37" s="159" t="s">
        <v>475</v>
      </c>
      <c r="D37" s="160" t="s">
        <v>475</v>
      </c>
      <c r="E37" s="159"/>
      <c r="F37" s="160"/>
      <c r="G37" s="160"/>
      <c r="H37" s="160"/>
      <c r="I37" s="324"/>
      <c r="J37" s="324"/>
      <c r="K37" s="143"/>
      <c r="L37" s="140"/>
    </row>
    <row r="38" spans="1:12" ht="15.75" x14ac:dyDescent="0.25">
      <c r="A38" s="149" t="s">
        <v>465</v>
      </c>
      <c r="B38" s="147" t="s">
        <v>185</v>
      </c>
      <c r="C38" s="159" t="s">
        <v>475</v>
      </c>
      <c r="D38" s="160" t="s">
        <v>475</v>
      </c>
      <c r="E38" s="160"/>
      <c r="F38" s="160"/>
      <c r="G38" s="160"/>
      <c r="H38" s="160"/>
      <c r="I38" s="166"/>
      <c r="J38" s="140"/>
      <c r="K38" s="140"/>
      <c r="L38" s="140"/>
    </row>
    <row r="39" spans="1:12" ht="63" x14ac:dyDescent="0.25">
      <c r="A39" s="146" t="s">
        <v>427</v>
      </c>
      <c r="B39" s="148" t="s">
        <v>426</v>
      </c>
      <c r="C39" s="159" t="s">
        <v>475</v>
      </c>
      <c r="D39" s="160" t="s">
        <v>475</v>
      </c>
      <c r="E39" s="159">
        <v>45125</v>
      </c>
      <c r="F39" s="159">
        <v>45125</v>
      </c>
      <c r="G39" s="160"/>
      <c r="H39" s="160"/>
      <c r="I39" s="324">
        <v>100</v>
      </c>
      <c r="J39" s="139"/>
      <c r="K39" s="140"/>
      <c r="L39" s="140"/>
    </row>
    <row r="40" spans="1:12" ht="15.75" x14ac:dyDescent="0.25">
      <c r="A40" s="146" t="s">
        <v>429</v>
      </c>
      <c r="B40" s="148" t="s">
        <v>428</v>
      </c>
      <c r="C40" s="159" t="s">
        <v>475</v>
      </c>
      <c r="D40" s="160" t="s">
        <v>475</v>
      </c>
      <c r="E40" s="159">
        <v>45104</v>
      </c>
      <c r="F40" s="160">
        <v>45236</v>
      </c>
      <c r="G40" s="160"/>
      <c r="H40" s="161"/>
      <c r="I40" s="324">
        <v>100</v>
      </c>
      <c r="J40" s="138"/>
      <c r="K40" s="140"/>
      <c r="L40" s="140"/>
    </row>
    <row r="41" spans="1:12" ht="47.25" x14ac:dyDescent="0.25">
      <c r="A41" s="146" t="s">
        <v>466</v>
      </c>
      <c r="B41" s="147" t="s">
        <v>430</v>
      </c>
      <c r="C41" s="159" t="s">
        <v>475</v>
      </c>
      <c r="D41" s="160" t="s">
        <v>475</v>
      </c>
      <c r="E41" s="160"/>
      <c r="F41" s="227"/>
      <c r="G41" s="160"/>
      <c r="H41" s="162"/>
      <c r="I41" s="166"/>
      <c r="J41" s="140"/>
      <c r="K41" s="140"/>
      <c r="L41" s="140"/>
    </row>
    <row r="42" spans="1:12" ht="31.5" x14ac:dyDescent="0.25">
      <c r="A42" s="146" t="s">
        <v>432</v>
      </c>
      <c r="B42" s="148" t="s">
        <v>431</v>
      </c>
      <c r="C42" s="159" t="s">
        <v>475</v>
      </c>
      <c r="D42" s="160" t="s">
        <v>475</v>
      </c>
      <c r="E42" s="159" t="s">
        <v>406</v>
      </c>
      <c r="F42" s="160" t="str">
        <f t="shared" ref="F42" si="3">E42</f>
        <v>не требуется</v>
      </c>
      <c r="G42" s="160"/>
      <c r="H42" s="160"/>
      <c r="I42" s="324"/>
      <c r="J42" s="324"/>
      <c r="K42" s="140"/>
      <c r="L42" s="140"/>
    </row>
    <row r="43" spans="1:12" ht="15.75" x14ac:dyDescent="0.25">
      <c r="A43" s="146" t="s">
        <v>433</v>
      </c>
      <c r="B43" s="148" t="s">
        <v>184</v>
      </c>
      <c r="C43" s="159" t="s">
        <v>475</v>
      </c>
      <c r="D43" s="160" t="s">
        <v>475</v>
      </c>
      <c r="E43" s="159">
        <v>45233</v>
      </c>
      <c r="F43" s="160">
        <v>45233</v>
      </c>
      <c r="G43" s="160"/>
      <c r="H43" s="160"/>
      <c r="I43" s="324">
        <v>100</v>
      </c>
      <c r="J43" s="324"/>
      <c r="K43" s="140"/>
      <c r="L43" s="140"/>
    </row>
    <row r="44" spans="1:12" ht="15.75" x14ac:dyDescent="0.25">
      <c r="A44" s="146" t="s">
        <v>435</v>
      </c>
      <c r="B44" s="148" t="s">
        <v>434</v>
      </c>
      <c r="C44" s="159" t="s">
        <v>475</v>
      </c>
      <c r="D44" s="160" t="s">
        <v>475</v>
      </c>
      <c r="E44" s="160"/>
      <c r="F44" s="159"/>
      <c r="G44" s="160"/>
      <c r="H44" s="160"/>
      <c r="I44" s="324"/>
      <c r="J44" s="324"/>
      <c r="K44" s="140"/>
      <c r="L44" s="140"/>
    </row>
    <row r="45" spans="1:12" ht="78.75" x14ac:dyDescent="0.25">
      <c r="A45" s="146" t="s">
        <v>437</v>
      </c>
      <c r="B45" s="148" t="s">
        <v>436</v>
      </c>
      <c r="C45" s="159" t="s">
        <v>475</v>
      </c>
      <c r="D45" s="160" t="s">
        <v>475</v>
      </c>
      <c r="E45" s="159"/>
      <c r="F45" s="160"/>
      <c r="G45" s="160"/>
      <c r="H45" s="160"/>
      <c r="I45" s="166"/>
      <c r="J45" s="140"/>
      <c r="K45" s="140"/>
      <c r="L45" s="140"/>
    </row>
    <row r="46" spans="1:12" ht="157.5" x14ac:dyDescent="0.25">
      <c r="A46" s="146" t="s">
        <v>439</v>
      </c>
      <c r="B46" s="148" t="s">
        <v>438</v>
      </c>
      <c r="C46" s="159" t="s">
        <v>475</v>
      </c>
      <c r="D46" s="160" t="s">
        <v>475</v>
      </c>
      <c r="E46" s="159"/>
      <c r="F46" s="160"/>
      <c r="G46" s="160"/>
      <c r="H46" s="160"/>
      <c r="I46" s="166"/>
      <c r="J46" s="140"/>
      <c r="K46" s="140"/>
      <c r="L46" s="140"/>
    </row>
    <row r="47" spans="1:12" ht="15.75" x14ac:dyDescent="0.25">
      <c r="A47" s="146" t="s">
        <v>469</v>
      </c>
      <c r="B47" s="148" t="s">
        <v>440</v>
      </c>
      <c r="C47" s="159" t="s">
        <v>475</v>
      </c>
      <c r="D47" s="160" t="s">
        <v>475</v>
      </c>
      <c r="E47" s="160"/>
      <c r="F47" s="160"/>
      <c r="G47" s="160"/>
      <c r="H47" s="160"/>
      <c r="I47" s="324"/>
      <c r="J47" s="324"/>
      <c r="K47" s="140"/>
      <c r="L47" s="140"/>
    </row>
    <row r="48" spans="1:12" ht="31.5" x14ac:dyDescent="0.25">
      <c r="A48" s="146" t="s">
        <v>467</v>
      </c>
      <c r="B48" s="147" t="s">
        <v>183</v>
      </c>
      <c r="C48" s="159" t="s">
        <v>475</v>
      </c>
      <c r="D48" s="160" t="s">
        <v>475</v>
      </c>
      <c r="E48" s="160"/>
      <c r="F48" s="227"/>
      <c r="G48" s="160"/>
      <c r="H48" s="162"/>
      <c r="I48" s="166"/>
      <c r="J48" s="140"/>
      <c r="K48" s="140"/>
      <c r="L48" s="140"/>
    </row>
    <row r="49" spans="1:12" ht="31.5" x14ac:dyDescent="0.25">
      <c r="A49" s="146" t="s">
        <v>470</v>
      </c>
      <c r="B49" s="148" t="s">
        <v>182</v>
      </c>
      <c r="C49" s="159" t="s">
        <v>475</v>
      </c>
      <c r="D49" s="160" t="s">
        <v>475</v>
      </c>
      <c r="E49" s="160"/>
      <c r="F49" s="160"/>
      <c r="G49" s="160"/>
      <c r="H49" s="160"/>
      <c r="I49" s="324"/>
      <c r="J49" s="324"/>
      <c r="K49" s="140"/>
      <c r="L49" s="140"/>
    </row>
    <row r="50" spans="1:12" ht="78.75" x14ac:dyDescent="0.25">
      <c r="A50" s="149" t="s">
        <v>442</v>
      </c>
      <c r="B50" s="148" t="s">
        <v>441</v>
      </c>
      <c r="C50" s="159" t="s">
        <v>475</v>
      </c>
      <c r="D50" s="160" t="s">
        <v>475</v>
      </c>
      <c r="E50" s="159"/>
      <c r="F50" s="159"/>
      <c r="G50" s="160"/>
      <c r="H50" s="160"/>
      <c r="I50" s="324"/>
      <c r="J50" s="324"/>
      <c r="K50" s="140"/>
      <c r="L50" s="140"/>
    </row>
    <row r="51" spans="1:12" ht="63" x14ac:dyDescent="0.25">
      <c r="A51" s="146" t="s">
        <v>444</v>
      </c>
      <c r="B51" s="148" t="s">
        <v>443</v>
      </c>
      <c r="C51" s="159" t="s">
        <v>475</v>
      </c>
      <c r="D51" s="160" t="s">
        <v>475</v>
      </c>
      <c r="E51" s="159"/>
      <c r="F51" s="160"/>
      <c r="G51" s="160"/>
      <c r="H51" s="160"/>
      <c r="I51" s="166"/>
      <c r="J51" s="140"/>
      <c r="K51" s="140"/>
      <c r="L51" s="140"/>
    </row>
    <row r="52" spans="1:12" ht="63" x14ac:dyDescent="0.25">
      <c r="A52" s="146" t="s">
        <v>446</v>
      </c>
      <c r="B52" s="148" t="s">
        <v>445</v>
      </c>
      <c r="C52" s="159" t="s">
        <v>475</v>
      </c>
      <c r="D52" s="160" t="s">
        <v>475</v>
      </c>
      <c r="E52" s="574">
        <v>45715</v>
      </c>
      <c r="F52" s="160"/>
      <c r="G52" s="160"/>
      <c r="H52" s="160"/>
      <c r="I52" s="166">
        <v>33</v>
      </c>
      <c r="J52" s="135"/>
      <c r="K52" s="140"/>
      <c r="L52" s="140"/>
    </row>
    <row r="53" spans="1:12" ht="31.5" x14ac:dyDescent="0.25">
      <c r="A53" s="146" t="s">
        <v>448</v>
      </c>
      <c r="B53" s="150" t="s">
        <v>447</v>
      </c>
      <c r="C53" s="159" t="s">
        <v>475</v>
      </c>
      <c r="D53" s="160" t="s">
        <v>475</v>
      </c>
      <c r="E53" s="159"/>
      <c r="F53" s="159"/>
      <c r="G53" s="160"/>
      <c r="H53" s="160"/>
      <c r="I53" s="324"/>
      <c r="J53" s="324"/>
      <c r="K53" s="140"/>
      <c r="L53" s="140"/>
    </row>
    <row r="54" spans="1:12" ht="31.5" x14ac:dyDescent="0.25">
      <c r="A54" s="146" t="s">
        <v>471</v>
      </c>
      <c r="B54" s="148" t="s">
        <v>449</v>
      </c>
      <c r="C54" s="159" t="s">
        <v>475</v>
      </c>
      <c r="D54" s="160" t="s">
        <v>475</v>
      </c>
      <c r="E54" s="159"/>
      <c r="F54" s="160"/>
      <c r="G54" s="160"/>
      <c r="H54" s="160"/>
      <c r="I54" s="166"/>
      <c r="J54" s="140"/>
      <c r="K54" s="140"/>
      <c r="L54" s="140"/>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2025-04-17T12:39:31Z</dcterms:modified>
</cp:coreProperties>
</file>